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 ПРАЙС (розница)" sheetId="1" r:id="rId1"/>
    <sheet name="УСЛУГИ" sheetId="2" r:id="rId2"/>
  </sheets>
  <definedNames/>
  <calcPr fullCalcOnLoad="1" refMode="R1C1"/>
</workbook>
</file>

<file path=xl/sharedStrings.xml><?xml version="1.0" encoding="utf-8"?>
<sst xmlns="http://schemas.openxmlformats.org/spreadsheetml/2006/main" count="989" uniqueCount="535">
  <si>
    <t>1 уп.</t>
  </si>
  <si>
    <t>-</t>
  </si>
  <si>
    <t xml:space="preserve">Плинтус  липа </t>
  </si>
  <si>
    <t>Галтель  липа  потолочная</t>
  </si>
  <si>
    <t>Уголок   липа</t>
  </si>
  <si>
    <t xml:space="preserve">от 2,0 до 3,0 </t>
  </si>
  <si>
    <t>А</t>
  </si>
  <si>
    <t>от 1,8 до 3,0</t>
  </si>
  <si>
    <t>26х90</t>
  </si>
  <si>
    <t>Доска обрезная</t>
  </si>
  <si>
    <t>Ступень</t>
  </si>
  <si>
    <t>Подступенок</t>
  </si>
  <si>
    <t>Тетива</t>
  </si>
  <si>
    <t>Поручень</t>
  </si>
  <si>
    <t>Колонна точеная</t>
  </si>
  <si>
    <t>Площадка (щит мебельный)</t>
  </si>
  <si>
    <t>Мебельный щит</t>
  </si>
  <si>
    <t>Вешалка  липовая</t>
  </si>
  <si>
    <t>Лавка  липовая</t>
  </si>
  <si>
    <t>Решетка на пол  липовая</t>
  </si>
  <si>
    <t>Скамейка без подлокотника липовая</t>
  </si>
  <si>
    <t>Скамейка с подлокотником липовая</t>
  </si>
  <si>
    <t>Стол липовый</t>
  </si>
  <si>
    <t>Табурет липовый</t>
  </si>
  <si>
    <t>Шезлонг липовый</t>
  </si>
  <si>
    <t>Дверь термостекло (бронза)</t>
  </si>
  <si>
    <t>шт</t>
  </si>
  <si>
    <t>Пена монтаж. KRASS 0,75 л. Финляндия</t>
  </si>
  <si>
    <t>Пена монтаж. KRASS профес. 0,75 л. Финляндия</t>
  </si>
  <si>
    <t>Пена монтаж. МАКРОФЛЕКС  0,75 л.</t>
  </si>
  <si>
    <t>Пена монтаж. МАКРОФЛЕКС профес. 0,75 л.</t>
  </si>
  <si>
    <t>Текстурол биозащита деревозащит.средство 10 л.</t>
  </si>
  <si>
    <t>Текстурол биозащита деревозащит.средство 3 л.</t>
  </si>
  <si>
    <t>Текстурол классик деревозащит.средство Бесцветный 1 л.</t>
  </si>
  <si>
    <t>Текстурол классик деревозащит.средство Бесцветный 10 л.</t>
  </si>
  <si>
    <t xml:space="preserve">Текстурол классик деревозащит.средство Бесцветный 3 л. </t>
  </si>
  <si>
    <t xml:space="preserve">Текстурол классик деревозащит.средство Белый 1 л. </t>
  </si>
  <si>
    <t>Текстурол классик деревозащит.средство Дуб 10 л.</t>
  </si>
  <si>
    <t xml:space="preserve">Текстурол классик деревозащит.средство Дуб 3 л. </t>
  </si>
  <si>
    <t xml:space="preserve">Текстурол классик деревозащит.средство Калужница 1 л. </t>
  </si>
  <si>
    <t xml:space="preserve">Текстурол классик деревозащит.средство Калужница 10 л. </t>
  </si>
  <si>
    <t>Текстурол классик деревозащит.средство Дуб 1 л.</t>
  </si>
  <si>
    <t xml:space="preserve">Текстурол классик деревозащит.средство Калужница 3 л. </t>
  </si>
  <si>
    <t>Текстурол классик деревозащит.средство Махагон 1 л.</t>
  </si>
  <si>
    <t xml:space="preserve">Текстурол классик деревозащит.средство Махагон 10 л. </t>
  </si>
  <si>
    <t xml:space="preserve">Текстурол классик деревозащит.средство Махагон 3 л. </t>
  </si>
  <si>
    <t xml:space="preserve">Текстурол классик деревозащит.средство Орегон 1 л. </t>
  </si>
  <si>
    <t xml:space="preserve">Текстурол классик деревозащит.средство Орегон 10 л. </t>
  </si>
  <si>
    <t>Текстурол классик деревозащит.средство Орегон 3 л.</t>
  </si>
  <si>
    <t xml:space="preserve">Текстурол классик деревозащит.средство Орех 1 л. </t>
  </si>
  <si>
    <t>Текстурол классик деревозащит.средство Орех 10 л.</t>
  </si>
  <si>
    <t>Текстурол классик деревозащит.средство Орех 3 л.</t>
  </si>
  <si>
    <t xml:space="preserve">Текстурол классик деревозащит.средство Палисандр 1 л. </t>
  </si>
  <si>
    <t>Текстурол классик деревозащит.средство Палисандр 10 л.</t>
  </si>
  <si>
    <t xml:space="preserve">Текстурол классик деревозащит.средство Палисандр 3 л. </t>
  </si>
  <si>
    <t>Текстурол классик деревозащит.средство Рябина 1 л.</t>
  </si>
  <si>
    <t>Текстурол классик деревозащит.средство Рябина 10 л.</t>
  </si>
  <si>
    <t xml:space="preserve">Текстурол классик деревозащит.средство Рябина 3 л. </t>
  </si>
  <si>
    <t xml:space="preserve">Текстурол классик деревозащит.средство Сосна 1 л. </t>
  </si>
  <si>
    <t xml:space="preserve">Текстурол классик деревозащит.средство Сосна 10 л. </t>
  </si>
  <si>
    <t>Текстурол классик деревозащит.средство Сосна 3 л.</t>
  </si>
  <si>
    <t xml:space="preserve">Текстурол классик деревозащит.средство Тик 1 л. </t>
  </si>
  <si>
    <t>Текстурол классик деревозащит.средство Тик 10 л.</t>
  </si>
  <si>
    <t>Текстурол классик деревозащит.средство Тик 3 л.</t>
  </si>
  <si>
    <t xml:space="preserve">Текстурол лазурь деревозащит.средство Бесцветный 1 л. </t>
  </si>
  <si>
    <t>Текстурол лазурь деревозащит.средство Бесцветный 3 л.</t>
  </si>
  <si>
    <t>Текстурол лазурь деревозащит.средство Дуб 1 л.</t>
  </si>
  <si>
    <t xml:space="preserve">Текстурол лазурь деревозащит.средство Дуб 3 л. </t>
  </si>
  <si>
    <t>Текстурол лазурь деревозащит.средство Калужница 1 л.</t>
  </si>
  <si>
    <t xml:space="preserve">Текстурол лазурь деревозащит.средство Калужница 3 л. </t>
  </si>
  <si>
    <t>Текстурол лазурь деревозащит.средство Махагон 1 л.</t>
  </si>
  <si>
    <t xml:space="preserve">Текстурол лазурь деревозащит.средство Махагон 3 л. </t>
  </si>
  <si>
    <t>Текстурол лазурь деревозащит.средство Орегон 1 л.</t>
  </si>
  <si>
    <t xml:space="preserve">Текстурол лазурь деревозащит.средство Орегон 3 л. </t>
  </si>
  <si>
    <t xml:space="preserve">Текстурол лазурь деревозащит.средство Орех 1 л. </t>
  </si>
  <si>
    <t xml:space="preserve">Текстурол лазурь деревозащит.средство Орех 3 л. </t>
  </si>
  <si>
    <t>Текстурол лазурь деревозащит.средство Сосна 1 л.</t>
  </si>
  <si>
    <t>Текстурол лазурь деревозащит.средство Сосна 3 л.</t>
  </si>
  <si>
    <t>Текстурол лазурь деревозащит.средство Тик 1 л.</t>
  </si>
  <si>
    <t xml:space="preserve">Текстурол лазурь деревозащит.средство Тик 3 л. </t>
  </si>
  <si>
    <t xml:space="preserve">Шпатлевка по дереву PARADE S50 Бук 0,4 кг. </t>
  </si>
  <si>
    <t xml:space="preserve">Шпатлевка по дереву PARADE S50 Дуб 0,4 кг. </t>
  </si>
  <si>
    <t xml:space="preserve">Шпатлевка по дереву PARADE S50 Сосна 0,4 кг. </t>
  </si>
  <si>
    <t>уп</t>
  </si>
  <si>
    <t>Кляймер №1(пп) (100 шт)/уп</t>
  </si>
  <si>
    <t xml:space="preserve">Кляймер №2(пп) (100 шт)/уп </t>
  </si>
  <si>
    <t>Кляймер №3(пп) (100 шт)/уп</t>
  </si>
  <si>
    <t xml:space="preserve">Кляймер №4(пп) (100 шт)/уп </t>
  </si>
  <si>
    <t xml:space="preserve">Кляймер №5(пп) (100 шт)/уп </t>
  </si>
  <si>
    <t xml:space="preserve">Кляймер №6(пп) (100 шт)/уп </t>
  </si>
  <si>
    <t>ДОМИЗОЛ "А" ветровлагозащита</t>
  </si>
  <si>
    <t>ДОМИЗОЛ "В" пароизоляция</t>
  </si>
  <si>
    <t>ДОМИЗОЛ "С" гидропароизоляция</t>
  </si>
  <si>
    <t>ИЗОБОКС Экстра Лайт 1200*600*50 мм.</t>
  </si>
  <si>
    <t>ИЗОВЕР Маты КТ 40-АЛ-50 14000*1200*50 мм.</t>
  </si>
  <si>
    <t xml:space="preserve">ТЕПОФОЛ Теплоизоляция марка А-03 (1,05х50м) фольгиров. </t>
  </si>
  <si>
    <t>пара</t>
  </si>
  <si>
    <t xml:space="preserve">Перчатки 3-х ниточные с ПВХ Стандарт </t>
  </si>
  <si>
    <t xml:space="preserve">Кисть плоская 1,5 '' Белый </t>
  </si>
  <si>
    <t xml:space="preserve">Кисть плоская 2 '' Белый </t>
  </si>
  <si>
    <t>Кисть плоская 2,5 '' Белый</t>
  </si>
  <si>
    <t xml:space="preserve">Кисть плоская 3 '' Белый </t>
  </si>
  <si>
    <t>Кисть плоская 4 '' Белый</t>
  </si>
  <si>
    <t xml:space="preserve">Кисть плоская ПРЕМИУМ 40 мм, смесь щетины </t>
  </si>
  <si>
    <t xml:space="preserve">Кисть плоская ПРЕМИУМ 60 мм, смесь щетины </t>
  </si>
  <si>
    <t xml:space="preserve">Кисть плоская ПРОФИ 50 мм, черная натур.щетина </t>
  </si>
  <si>
    <t xml:space="preserve">Руковицы с брезент.наладонником </t>
  </si>
  <si>
    <t xml:space="preserve">Пленка стрейч 300мм 5мкм </t>
  </si>
  <si>
    <t>Скотч упаковочный 50ммх50м Бесцветный</t>
  </si>
  <si>
    <t>Мешки (белые)</t>
  </si>
  <si>
    <t>цена за кат. А, руб.</t>
  </si>
  <si>
    <t>цена за кат. В, руб.</t>
  </si>
  <si>
    <t>цена за кат. С, руб.</t>
  </si>
  <si>
    <t>размеры (толщина\ширина\длина)</t>
  </si>
  <si>
    <t>12,5х96(88)х 2,0</t>
  </si>
  <si>
    <t>12,5х96(88)х 2,1</t>
  </si>
  <si>
    <t>12,5х96(88)х 2,4</t>
  </si>
  <si>
    <t>12,5х96(88)х 2,5</t>
  </si>
  <si>
    <t>12,5х96(88)х 2,7</t>
  </si>
  <si>
    <t>12,5х96(88)х 3,0</t>
  </si>
  <si>
    <t>12,5х96(88)х 3,6</t>
  </si>
  <si>
    <t>12,5х96(88)х 3,9</t>
  </si>
  <si>
    <t>12,5х96(88)х 4,0</t>
  </si>
  <si>
    <t>Раскладка липа; грибок липа</t>
  </si>
  <si>
    <t>15х96(88)</t>
  </si>
  <si>
    <t>размеры (толщина\ширина), мм.</t>
  </si>
  <si>
    <t>длина, м.</t>
  </si>
  <si>
    <t>категория</t>
  </si>
  <si>
    <t>цена за п/м, руб.</t>
  </si>
  <si>
    <t>кол-во штук в 1 упаковке</t>
  </si>
  <si>
    <t>наименование</t>
  </si>
  <si>
    <t>Имитация бруса, хвоя</t>
  </si>
  <si>
    <t>Блокхаус, хвоя</t>
  </si>
  <si>
    <t>Полок, липа</t>
  </si>
  <si>
    <t>Погонаж, липа</t>
  </si>
  <si>
    <t>Евровагонка, ель (ЦСК, г.Петрозаводск)</t>
  </si>
  <si>
    <t>20х96(88)х 3,0 кат.АВ</t>
  </si>
  <si>
    <t>20х96(88)х 4,0 кат.АВ</t>
  </si>
  <si>
    <t>Доска пола, хвоя (европол)</t>
  </si>
  <si>
    <t>Брусок, хвоя (сухой,строганый)</t>
  </si>
  <si>
    <t>Брусок 20х45х 2,4</t>
  </si>
  <si>
    <t>Брусок 20х45х 3,0</t>
  </si>
  <si>
    <t>Брусок 30х40х 2,0</t>
  </si>
  <si>
    <t>Брусок 30х40х 3,0</t>
  </si>
  <si>
    <t>Брусок 40х40х 2,0</t>
  </si>
  <si>
    <t>Брусок 40х40х 3,0</t>
  </si>
  <si>
    <t>Брусок 40х50х 2,0</t>
  </si>
  <si>
    <t>Брусок 40х50х 3,0</t>
  </si>
  <si>
    <t>цена за 1 п/м</t>
  </si>
  <si>
    <t>цена за 1 шт</t>
  </si>
  <si>
    <t>цена за  п/м</t>
  </si>
  <si>
    <t>цена за  штуку</t>
  </si>
  <si>
    <t>Доска  строганая</t>
  </si>
  <si>
    <t>Пиломатериал, хвоя (естественной влажности)</t>
  </si>
  <si>
    <t>25х100</t>
  </si>
  <si>
    <t>25х150</t>
  </si>
  <si>
    <t>40х50</t>
  </si>
  <si>
    <t>50х200</t>
  </si>
  <si>
    <t>Брус обрезной</t>
  </si>
  <si>
    <t xml:space="preserve">Наличник липа НГ 75х15 </t>
  </si>
  <si>
    <t>Элементы лестницы, сосна</t>
  </si>
  <si>
    <t>цена за  1 шт</t>
  </si>
  <si>
    <t>Брус клеёный</t>
  </si>
  <si>
    <t>40х300х 1,0</t>
  </si>
  <si>
    <t>40х300х 1,2</t>
  </si>
  <si>
    <t>18х200х 1,0</t>
  </si>
  <si>
    <t>18х200х 1,2</t>
  </si>
  <si>
    <t>18х200х 1,5</t>
  </si>
  <si>
    <t>50х300х 3,0</t>
  </si>
  <si>
    <t>50х300х 4,0</t>
  </si>
  <si>
    <t>48х70х 3,0</t>
  </si>
  <si>
    <t>100х100х 3,0</t>
  </si>
  <si>
    <t>80х80х 3,0</t>
  </si>
  <si>
    <t>Мебельные щиты, хвоя</t>
  </si>
  <si>
    <t>толщина, мм.</t>
  </si>
  <si>
    <t>вес 1 листа, кг</t>
  </si>
  <si>
    <t>кол-во листов в упаковке</t>
  </si>
  <si>
    <t>цена за 1 лист</t>
  </si>
  <si>
    <t>Изделия для бани и сауны, липа</t>
  </si>
  <si>
    <t>Дверь глухая</t>
  </si>
  <si>
    <t>Дверь со стеклом</t>
  </si>
  <si>
    <t>размеры (длина\ширина), мм.</t>
  </si>
  <si>
    <t>1900х700</t>
  </si>
  <si>
    <t xml:space="preserve">  </t>
  </si>
  <si>
    <t>наименование товара</t>
  </si>
  <si>
    <t>цена, руб.</t>
  </si>
  <si>
    <t>единица измерения</t>
  </si>
  <si>
    <t>Прочие материалы</t>
  </si>
  <si>
    <t>Вагонка "Штиль", лиственница</t>
  </si>
  <si>
    <t>Планкен (отделочная доска), лиственница</t>
  </si>
  <si>
    <t>Террасная гладкая доска, лиственница</t>
  </si>
  <si>
    <t>длина, м</t>
  </si>
  <si>
    <t>размер (толщина\ширина), мм</t>
  </si>
  <si>
    <t>Доска пола, лиственница</t>
  </si>
  <si>
    <t>Наличник НГ 90х15 кат.А</t>
  </si>
  <si>
    <t>Наличник НГ 80х15 кат.А</t>
  </si>
  <si>
    <t>Наличник НФ 80х15 кат.А</t>
  </si>
  <si>
    <t>Наличник НГ 75х14 кат.А</t>
  </si>
  <si>
    <t>Наличник НФ 75х15 кат.А</t>
  </si>
  <si>
    <t>Наличник НГ 70х12 кат.А</t>
  </si>
  <si>
    <t>Наличник НФ 70х14 кат.А</t>
  </si>
  <si>
    <t>Наличник НСФ 70х13 кат.А</t>
  </si>
  <si>
    <t>Наличник НГ 60х12 кат.А</t>
  </si>
  <si>
    <t>Наличник НФ 60х12 кат.А</t>
  </si>
  <si>
    <t>Наличник НГ 50х12 кат.А</t>
  </si>
  <si>
    <t>80х80х 1,15</t>
  </si>
  <si>
    <t>150х150х 2,5</t>
  </si>
  <si>
    <t>45х45х 0,9</t>
  </si>
  <si>
    <t>50х50х 0,9</t>
  </si>
  <si>
    <t>40х600</t>
  </si>
  <si>
    <t>Балясина №1 и №4</t>
  </si>
  <si>
    <t>цена за шт., руб.</t>
  </si>
  <si>
    <t>Отделочные материалы</t>
  </si>
  <si>
    <t>Утеплители</t>
  </si>
  <si>
    <t>Инструмент</t>
  </si>
  <si>
    <t>Крепеж</t>
  </si>
  <si>
    <t>Вагонка, липа (софтлайн, г. Йошкар-Ола)</t>
  </si>
  <si>
    <t>СТРОИТЕЛЬСТВО</t>
  </si>
  <si>
    <t>Доска, хвоя (сухая, строганая)</t>
  </si>
  <si>
    <r>
      <t>1 м</t>
    </r>
    <r>
      <rPr>
        <vertAlign val="superscript"/>
        <sz val="11"/>
        <color indexed="8"/>
        <rFont val="Arial"/>
        <family val="2"/>
      </rPr>
      <t>3</t>
    </r>
  </si>
  <si>
    <r>
      <t>цена за 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, руб.</t>
    </r>
  </si>
  <si>
    <r>
      <t>цена за 1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</si>
  <si>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>цена  за 1 м</t>
    </r>
    <r>
      <rPr>
        <vertAlign val="superscript"/>
        <sz val="11"/>
        <color indexed="8"/>
        <rFont val="Arial"/>
        <family val="2"/>
      </rPr>
      <t>2</t>
    </r>
  </si>
  <si>
    <r>
      <t>кол-во м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в 1 листе</t>
    </r>
  </si>
  <si>
    <r>
      <t>цена за 1 м</t>
    </r>
    <r>
      <rPr>
        <vertAlign val="superscript"/>
        <sz val="11"/>
        <color indexed="8"/>
        <rFont val="Arial"/>
        <family val="2"/>
      </rPr>
      <t>3</t>
    </r>
  </si>
  <si>
    <r>
      <t>цена за 1 м</t>
    </r>
    <r>
      <rPr>
        <vertAlign val="superscript"/>
        <sz val="11"/>
        <color indexed="8"/>
        <rFont val="Arial"/>
        <family val="2"/>
      </rPr>
      <t>2</t>
    </r>
  </si>
  <si>
    <t>Столб  начальный №1 и №4</t>
  </si>
  <si>
    <t>Брус клееный сосна с зарезкой чашек под проект</t>
  </si>
  <si>
    <t>Брус клееный кедр с зарезкой чашек под проект</t>
  </si>
  <si>
    <t>Брус клееный лиственница с зарезкой чашек под проект</t>
  </si>
  <si>
    <t>Внешние ламели-лиственница, внутренние ламели-сосна</t>
  </si>
  <si>
    <t>Домостроительное и деревообрабатывающее предприятие ООО "ЦСК"</t>
  </si>
  <si>
    <t>материал стен</t>
  </si>
  <si>
    <t>сечение (высота\ширина), мм.</t>
  </si>
  <si>
    <r>
      <t>стоимость за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руб.</t>
    </r>
  </si>
  <si>
    <r>
      <t>примерная стоимость 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дома (включаю:фундамент,стены,перекрытия,крыша)</t>
    </r>
  </si>
  <si>
    <t>бревно оцилиндрованное</t>
  </si>
  <si>
    <t>Сосна</t>
  </si>
  <si>
    <t>Лиственница</t>
  </si>
  <si>
    <t>Кедр</t>
  </si>
  <si>
    <t>от 180 до 300</t>
  </si>
  <si>
    <t>диаметр, мм.</t>
  </si>
  <si>
    <t xml:space="preserve">2. В стоимость дома включена стоимость: </t>
  </si>
  <si>
    <t>* монолитного армированного свайно-ростверкового фундамента</t>
  </si>
  <si>
    <t>* стен дома со сборкой (с перекрытиями цоколя и 1-го этажа)</t>
  </si>
  <si>
    <t>* стропильной системы с теплой крышей и кровлей</t>
  </si>
  <si>
    <r>
      <t>1. Стоимость проектных работ- 250 руб/м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от общей площади дома в объеме эскизного проекта (фасады,перспективные изображение, планировка этажей, план фундамента, план кровли) и альбома стеновых элементов для изготовления и сборки стенового комплекта</t>
    </r>
  </si>
  <si>
    <t>от 145х200                       до 230х200</t>
  </si>
  <si>
    <t>расчитывается индивидуально</t>
  </si>
  <si>
    <t>домов из клееного бруса и оцилиндрованного бревна</t>
  </si>
  <si>
    <t>категория "А-Экстра"</t>
  </si>
  <si>
    <t>категория "АВ"</t>
  </si>
  <si>
    <t>24х125</t>
  </si>
  <si>
    <r>
      <t>цена за 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руб.</t>
    </r>
  </si>
  <si>
    <t>OSB-3 (ориентированно-стружечная плита, "Болдерая" Латвия)</t>
  </si>
  <si>
    <t>от 1,8 до 1,9</t>
  </si>
  <si>
    <t>КНАУФ Термо Рол 040 2*10000*1200*50 мм</t>
  </si>
  <si>
    <t>100х100</t>
  </si>
  <si>
    <t>150х150</t>
  </si>
  <si>
    <t>Террасная доска двухсторонняя /планкен скошенный, лиственница (одна сторона-гладкая, другая-ребристая)</t>
  </si>
  <si>
    <t>ГРАФИК РАБОТЫ БАЗЫ:</t>
  </si>
  <si>
    <t>понедельник</t>
  </si>
  <si>
    <t>вторник</t>
  </si>
  <si>
    <t>среда</t>
  </si>
  <si>
    <t>четверг</t>
  </si>
  <si>
    <t>пятница</t>
  </si>
  <si>
    <t>с 9:00 до 18:00</t>
  </si>
  <si>
    <t>суббота</t>
  </si>
  <si>
    <t>воскресенье</t>
  </si>
  <si>
    <t>с 10:00 до 15:00</t>
  </si>
  <si>
    <t>По индивидуальной договоренности, товар может отпускаться в иное время!</t>
  </si>
  <si>
    <t>50х100</t>
  </si>
  <si>
    <t>50х150</t>
  </si>
  <si>
    <t>100х150</t>
  </si>
  <si>
    <t>Коробка дверная 30х70х 2,1</t>
  </si>
  <si>
    <t>Раскладка РГ 30х9</t>
  </si>
  <si>
    <t>Коробка дверная 35х75х 2,1</t>
  </si>
  <si>
    <t>40х100</t>
  </si>
  <si>
    <t>40х150</t>
  </si>
  <si>
    <t xml:space="preserve">Перчатки х/б с ПВХ (средние) </t>
  </si>
  <si>
    <t xml:space="preserve">ЦСК – база стройматериалов
г. Москва, 32 км.МКАД 
с внешней стороны
csk-stroybaza@mail.ru
8-916-352-07-77, 8-916-165-88-84, 8-916-102-51-61
www.rosless.ru   
</t>
  </si>
  <si>
    <t>Перечень предоставляемых услуг:</t>
  </si>
  <si>
    <t>1. Погрузка товара на складе</t>
  </si>
  <si>
    <t>2. Распиловка товара</t>
  </si>
  <si>
    <t>Стоимость услуги:</t>
  </si>
  <si>
    <t>БЕСПЛАТНО</t>
  </si>
  <si>
    <t>20 рублей/распил</t>
  </si>
  <si>
    <t>50 рублей/км.</t>
  </si>
  <si>
    <t>3. Доставка товара (расчет расстояния в обе стороны,рузгрузка не входит)</t>
  </si>
  <si>
    <t>ширина,мм.</t>
  </si>
  <si>
    <t>цена за шт, руб.</t>
  </si>
  <si>
    <t>цена за кв.м.,руб.</t>
  </si>
  <si>
    <t>стоимость "под проект" (с зарезкой чашек, в деталях), руб.</t>
  </si>
  <si>
    <t>3. Доставка товара (расчет расстояния в обе стороны,разгрузка не входит)</t>
  </si>
  <si>
    <t>Коробка дверная 35х100х 2,1</t>
  </si>
  <si>
    <t>Коробка дверная 35х120х 2,1</t>
  </si>
  <si>
    <t>Лента малярная 50 мм.-50 м.</t>
  </si>
  <si>
    <t>Оптимист препарат биозащитный Биощит 10 л.</t>
  </si>
  <si>
    <t>Оптимист препарат биозащитный Огне-биощит 10 л.</t>
  </si>
  <si>
    <t>Брусок 20х45х 2,1</t>
  </si>
  <si>
    <t>Варианты применения</t>
  </si>
  <si>
    <t>Мебельная заготовка, Подступенник</t>
  </si>
  <si>
    <t xml:space="preserve">   Ступени, подоконники, столешницы</t>
  </si>
  <si>
    <t>Мебельная заготовка, подступенник</t>
  </si>
  <si>
    <t xml:space="preserve">   Тетива, опорные элементы</t>
  </si>
  <si>
    <t>Наружные слои -   толщиной 4,5мм, радиальный распил</t>
  </si>
  <si>
    <t xml:space="preserve">Наименование и толщина мм. </t>
  </si>
  <si>
    <t xml:space="preserve">Тетива </t>
  </si>
  <si>
    <t>38х318х1200 мм Ступень</t>
  </si>
  <si>
    <t>38х418х1200 мм Ступень</t>
  </si>
  <si>
    <t>38х1250х1250 мм Площадка</t>
  </si>
  <si>
    <t>Щит 3-х слойный клеенный радиал</t>
  </si>
  <si>
    <t>Щит цельноламельный    18/20 мм</t>
  </si>
  <si>
    <t>Щит цельноламельный    40 мм</t>
  </si>
  <si>
    <t>Щит цельноламельный    47 мм</t>
  </si>
  <si>
    <t>Наименование</t>
  </si>
  <si>
    <t>Щит сращенный    40 мм</t>
  </si>
  <si>
    <t>Щит сращенный    18/20 мм</t>
  </si>
  <si>
    <t xml:space="preserve">наименование и толщина мм. </t>
  </si>
  <si>
    <t>варианты применения</t>
  </si>
  <si>
    <t>Щит сращенный    47 мм</t>
  </si>
  <si>
    <r>
      <t>цена за 1 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</t>
    </r>
  </si>
  <si>
    <t>Щит клеёный лиственница, однослойный, цельноламельный, радиальный распил</t>
  </si>
  <si>
    <t>Щит клеёный лиственница, однослойный, сращенная ламель</t>
  </si>
  <si>
    <t>Щит трехслойный лиственница</t>
  </si>
  <si>
    <t>4. Принимаем заказы на индивидуальные изделия по Вашим размерам</t>
  </si>
  <si>
    <t xml:space="preserve">прайс-лист
26 мая 2010 г. Москва  
</t>
  </si>
  <si>
    <t>Брусок 40х50х 4,0</t>
  </si>
  <si>
    <t>Брусок 40х40х 4,0</t>
  </si>
  <si>
    <t>Брусок 30х40х 4,0</t>
  </si>
  <si>
    <t>36х190(180)х 6,0 кат.АВ</t>
  </si>
  <si>
    <t>Вагонка "Штиль", ангарская сосна</t>
  </si>
  <si>
    <t>9х1250х 2500</t>
  </si>
  <si>
    <t>11х1250х 2500</t>
  </si>
  <si>
    <t>В</t>
  </si>
  <si>
    <t>36х190(180)х 5,8 кат.АВ</t>
  </si>
  <si>
    <t>36х170(160)х 6,0 кат.АВ</t>
  </si>
  <si>
    <t>1% от суммы покупки</t>
  </si>
  <si>
    <t>35х121(115)х 6,0 кат.АВ</t>
  </si>
  <si>
    <t>Элементы лестницы, лиственница</t>
  </si>
  <si>
    <t>от 1,0 до 1,7</t>
  </si>
  <si>
    <t>кол-во шт в уп</t>
  </si>
  <si>
    <r>
      <t>площадь, закр одной уп, м</t>
    </r>
    <r>
      <rPr>
        <vertAlign val="superscript"/>
        <sz val="11"/>
        <color indexed="8"/>
        <rFont val="Arial"/>
        <family val="2"/>
      </rPr>
      <t>2</t>
    </r>
  </si>
  <si>
    <r>
      <t>1 м</t>
    </r>
    <r>
      <rPr>
        <vertAlign val="superscript"/>
        <sz val="11"/>
        <color indexed="8"/>
        <rFont val="Arial"/>
        <family val="2"/>
      </rPr>
      <t>2</t>
    </r>
  </si>
  <si>
    <r>
      <t>1 м</t>
    </r>
    <r>
      <rPr>
        <vertAlign val="superscript"/>
        <sz val="11"/>
        <color indexed="8"/>
        <rFont val="Arial"/>
        <family val="2"/>
      </rPr>
      <t xml:space="preserve">2 </t>
    </r>
  </si>
  <si>
    <t>кол-во шт в 1 уп</t>
  </si>
  <si>
    <t>цена за 1 уп</t>
  </si>
  <si>
    <t>36х170(160)х 5,0 кат.АВ</t>
  </si>
  <si>
    <r>
      <t>цена 1 м</t>
    </r>
    <r>
      <rPr>
        <vertAlign val="superscript"/>
        <sz val="11"/>
        <color indexed="8"/>
        <rFont val="Arial"/>
        <family val="2"/>
      </rPr>
      <t>2</t>
    </r>
  </si>
  <si>
    <t>20х96(90)х 3,0 кат.АВ ЦСК</t>
  </si>
  <si>
    <t>41х121(113)х 6,0 кат.АВ ЦСК</t>
  </si>
  <si>
    <t>41х146(138)х 6,0 кат.АВ ЦСК</t>
  </si>
  <si>
    <t>20х96(90)х 3,0 кат.С ЦСК</t>
  </si>
  <si>
    <t>36х170(160)х 5,8 кат.АВ</t>
  </si>
  <si>
    <t>20х96(88)х 3,0 кат.С</t>
  </si>
  <si>
    <t>Погонаж, хвоя (сращенный, сухой, строганый)</t>
  </si>
  <si>
    <t>Наличник НГ 60х12</t>
  </si>
  <si>
    <t>Наличник НФ 60х12</t>
  </si>
  <si>
    <t>Наличник "Волна" 70х12</t>
  </si>
  <si>
    <t>Наличник НГ 70х12</t>
  </si>
  <si>
    <t>Наличник НФ 70х14</t>
  </si>
  <si>
    <t>Наличник НСФ 70х13</t>
  </si>
  <si>
    <t>Наличник НГ 75х14</t>
  </si>
  <si>
    <t>Наличник НФ 75х15</t>
  </si>
  <si>
    <t>Наличник НГ 80х15</t>
  </si>
  <si>
    <t>Наличник НФ 80х15</t>
  </si>
  <si>
    <t>Наличник НГ 90х15</t>
  </si>
  <si>
    <t>Плинтус ППГ 30х12</t>
  </si>
  <si>
    <t>Плинтус ППФ 32х12</t>
  </si>
  <si>
    <t>Плинтус ПУ 43х16</t>
  </si>
  <si>
    <t>Плинтус ПФ 43х16</t>
  </si>
  <si>
    <t>Плинтус ПФ 45х15</t>
  </si>
  <si>
    <t>Плинтус ПФ 50х15</t>
  </si>
  <si>
    <t>Плинтус ПФ 60х16</t>
  </si>
  <si>
    <t>Плинтус ПЕ 60х18</t>
  </si>
  <si>
    <t>Раскладка РФ 18х9</t>
  </si>
  <si>
    <t>Раскладка РФ 18х9 кат.Экстра</t>
  </si>
  <si>
    <t>Раскладка РГ 40х9</t>
  </si>
  <si>
    <t>Раскладка РФ 40х9</t>
  </si>
  <si>
    <t>Раскладка РФ 30х9</t>
  </si>
  <si>
    <t>Раскладка Р 30х9 Сфера</t>
  </si>
  <si>
    <t>Раскладка Р 40х9 Сфера</t>
  </si>
  <si>
    <t>Уголок УГ 40х40</t>
  </si>
  <si>
    <t>Уголок УГ 25х25</t>
  </si>
  <si>
    <t>Уголок УФ 25х25</t>
  </si>
  <si>
    <t>Уголок УФ 40х40</t>
  </si>
  <si>
    <t>Штапик оконный 10х10</t>
  </si>
  <si>
    <t>Штапик декоративный 14х14</t>
  </si>
  <si>
    <t>Брусок 20х45х 2,7</t>
  </si>
  <si>
    <t>кол-во штук в 1 уп</t>
  </si>
  <si>
    <t>20х95</t>
  </si>
  <si>
    <t>выходной</t>
  </si>
  <si>
    <t>Под заказ</t>
  </si>
  <si>
    <t>Вагонка, лиственница</t>
  </si>
  <si>
    <r>
      <t>объем одной уп, м</t>
    </r>
    <r>
      <rPr>
        <vertAlign val="superscript"/>
        <sz val="11"/>
        <rFont val="Arial"/>
        <family val="2"/>
      </rPr>
      <t>3</t>
    </r>
  </si>
  <si>
    <t>цена за кат. Э, руб.</t>
  </si>
  <si>
    <t>14х86(80)х 2,7</t>
  </si>
  <si>
    <t>14х86(80)х 3,0</t>
  </si>
  <si>
    <t>14х86(80)х 4,0</t>
  </si>
  <si>
    <t>14х116(110)х 2,7</t>
  </si>
  <si>
    <t>14х116(110)х 3,0</t>
  </si>
  <si>
    <t>14х116(110)х 4,0</t>
  </si>
  <si>
    <t>14х144(138)х 2,7</t>
  </si>
  <si>
    <t>14х144(138)х 3,0</t>
  </si>
  <si>
    <t>14х144(138)х 4,0</t>
  </si>
  <si>
    <t>27х146(140)х 2,7</t>
  </si>
  <si>
    <t>27х146(140)х 3,0</t>
  </si>
  <si>
    <t>27х146(140)х 4,0</t>
  </si>
  <si>
    <t>25х140х 3,0</t>
  </si>
  <si>
    <t>27х110х 3,0</t>
  </si>
  <si>
    <t>27х110х 4,0</t>
  </si>
  <si>
    <t>27х140х 2,7</t>
  </si>
  <si>
    <t>27х140х 3,0</t>
  </si>
  <si>
    <t>27х140х 4,0</t>
  </si>
  <si>
    <t>45х140х 3,0</t>
  </si>
  <si>
    <t>20х140х 4,0</t>
  </si>
  <si>
    <t>кол-во штук</t>
  </si>
  <si>
    <t>Оптимист отбел-ль древ без хлора для наруж. и внутр. работ 5 л.</t>
  </si>
  <si>
    <r>
      <t>стоим-ть за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, руб.</t>
    </r>
  </si>
  <si>
    <t>Телефоны                                         8-498-540-23-13 (факс)                              8-498-540-23-15                              8-916-352-07-77                              8-916-102-51-61</t>
  </si>
  <si>
    <t>8-916-352-07-77</t>
  </si>
  <si>
    <t>тел.</t>
  </si>
  <si>
    <t>35х141(135)х 6,0 кат.АВ</t>
  </si>
  <si>
    <t>35х96(90)х 5,0 кат.АВ</t>
  </si>
  <si>
    <t>41х96(88)х 6,0 кат.АВ ЦСК</t>
  </si>
  <si>
    <t>41х96(88)х 3,0 кат.АВ ЦСК</t>
  </si>
  <si>
    <t>АВ</t>
  </si>
  <si>
    <t>Балясина №1, №4 и №5</t>
  </si>
  <si>
    <t>40х300х 0,8</t>
  </si>
  <si>
    <t>Накладка с вкладышем</t>
  </si>
  <si>
    <t>48х70 град. 30, 40, 90, 180</t>
  </si>
  <si>
    <t>Столб начальный №1, №4 и №5</t>
  </si>
  <si>
    <t>Поручень фигур. закругленный</t>
  </si>
  <si>
    <t>1 уп</t>
  </si>
  <si>
    <t>30х94(86)х 4,0</t>
  </si>
  <si>
    <t xml:space="preserve">АЛЕНТЕКС "А" паропроницаемая мембрана </t>
  </si>
  <si>
    <t>АЛЕНТЕКС "В" пароизоляционная пленка</t>
  </si>
  <si>
    <t>АЛЕНТЕКС "С" гидроизоляционная пленка</t>
  </si>
  <si>
    <t>АЛЕНТЕКС "Д" универсальная гидроизоляционная пленка</t>
  </si>
  <si>
    <t>35х96(90)х 4,0 кат.АВ</t>
  </si>
  <si>
    <t>35х96(90)х 5,8 кат.АВ</t>
  </si>
  <si>
    <t>35х96(90)х 6,0 кат.АВ</t>
  </si>
  <si>
    <t>14х116(110)х 2,75</t>
  </si>
  <si>
    <t>Наличник НСФ 65х12</t>
  </si>
  <si>
    <t>Плинтус ППГ 40х14</t>
  </si>
  <si>
    <t>2,0-2,2-2,5</t>
  </si>
  <si>
    <t>Имитация бруса, лиственница</t>
  </si>
  <si>
    <t>25х144(138)х 2,7</t>
  </si>
  <si>
    <t>25х144(138)х 3,0</t>
  </si>
  <si>
    <t>25х144(138)х 4,0</t>
  </si>
  <si>
    <t>Наличник липа НСФ 75х12</t>
  </si>
  <si>
    <t>Наличник липа НСФ 70х10</t>
  </si>
  <si>
    <t>32х140х 4,0</t>
  </si>
  <si>
    <t>Брусок 20х45х 2,5</t>
  </si>
  <si>
    <t>41х121(113)х 3,0 кат.АВ ЦСК</t>
  </si>
  <si>
    <t>41х146(138)х 3,0 кат.АВ ЦСК</t>
  </si>
  <si>
    <t>14х136(130)х 2,7</t>
  </si>
  <si>
    <t>14х136(130)х 3,0</t>
  </si>
  <si>
    <t>14х136(130)х 4,0</t>
  </si>
  <si>
    <t>18х142(134)х 6,0 кат.АВ</t>
  </si>
  <si>
    <t>Экстра</t>
  </si>
  <si>
    <t>тел.8-916-352-07-77</t>
  </si>
  <si>
    <t>Звоните:8-916-352-07-77</t>
  </si>
  <si>
    <t>Доска обрезная 2 сорт</t>
  </si>
  <si>
    <t>Цена за 1 м3</t>
  </si>
  <si>
    <t>Цена за 1 м3 14х116(110)</t>
  </si>
  <si>
    <t>Цена за 1 м3 14х144(138)</t>
  </si>
  <si>
    <t>Цена за 1 м3 14х86(80)</t>
  </si>
  <si>
    <t>Цена за 1 м3 27х146(140)</t>
  </si>
  <si>
    <t>Цена за 1 м3 30х94(86)</t>
  </si>
  <si>
    <t>Цена за 1 м3 25х144(138)</t>
  </si>
  <si>
    <t>Цена за 1 м3 14х136(130)</t>
  </si>
  <si>
    <t xml:space="preserve">28х142(135)х 6,0 кат.АВ  </t>
  </si>
  <si>
    <t xml:space="preserve">36х143(135)х 3,0 кат.АВ  </t>
  </si>
  <si>
    <t xml:space="preserve">36х143(135)х 5,8 кат.АВ  </t>
  </si>
  <si>
    <t xml:space="preserve">36х143(135)х 6,0 кат.АВ  </t>
  </si>
  <si>
    <t xml:space="preserve">36х142(133)х 6,0 кат.АВ  </t>
  </si>
  <si>
    <t>Плинтус ПШ 50х15</t>
  </si>
  <si>
    <t>Плинтус ППФ 32х12 кат.А</t>
  </si>
  <si>
    <t>Плинтус ППГ 40х14 кат.А</t>
  </si>
  <si>
    <t>Плинтус ПУ 43х16 кат.А</t>
  </si>
  <si>
    <t>Плинтус ПФ 50х15 кат.А</t>
  </si>
  <si>
    <t>60х300х 3,0</t>
  </si>
  <si>
    <t>Э</t>
  </si>
  <si>
    <t>Подоконник</t>
  </si>
  <si>
    <t>40х300х 1,4</t>
  </si>
  <si>
    <t>40х300х 1,6</t>
  </si>
  <si>
    <t>40х1,0х1,0 (40х1,2х1,2)</t>
  </si>
  <si>
    <t>Наличник НГ 50х12</t>
  </si>
  <si>
    <t>12,60-13,86-15,75</t>
  </si>
  <si>
    <t>от 1,0 до 3,0</t>
  </si>
  <si>
    <t>от 200 до 800</t>
  </si>
  <si>
    <t xml:space="preserve"> </t>
  </si>
  <si>
    <t>от 300 до 800</t>
  </si>
  <si>
    <t>от 1,0 до 1,5</t>
  </si>
  <si>
    <t>24х143(135)х 3,0</t>
  </si>
  <si>
    <t>24х143(135)х 4,0</t>
  </si>
  <si>
    <t>Брусок 20х45х 2,0</t>
  </si>
  <si>
    <t>25х80х 3,0 (4,0)</t>
  </si>
  <si>
    <t>40х300х 0,9</t>
  </si>
  <si>
    <t>40х300х 1,5</t>
  </si>
  <si>
    <t>42х70х 3,0</t>
  </si>
  <si>
    <t>44х65х 3,0 (4,0)</t>
  </si>
  <si>
    <t>48х70х 3,0 (4,0)</t>
  </si>
  <si>
    <t>48х80х 3,0 (4,0)</t>
  </si>
  <si>
    <t>80(90)(100)х80(90)(100)х 1,15</t>
  </si>
  <si>
    <t xml:space="preserve">ЦСК – база стройматериалов
г. Москва, 32 км.МКАД 
с внешней стороны
csk-lesobaza@mail.ru
 www.rosless.ru                                                                                             РОЗНИЧНЫЙ ПРАЙС-ЛИСТ
</t>
  </si>
  <si>
    <t>20х143(135)х 4,0 кат.АВ</t>
  </si>
  <si>
    <t>1378,00 (1984,32)</t>
  </si>
  <si>
    <t>35х141(135)х 3,0 кат.АВ</t>
  </si>
  <si>
    <t>35х141(135)х 4,0 кат.АВ</t>
  </si>
  <si>
    <t>35х141(135)х 5,0 кат.АВ</t>
  </si>
  <si>
    <t>400,00 (535,00)</t>
  </si>
  <si>
    <t>340,00 (450,00)</t>
  </si>
  <si>
    <t>380,00 (505,00)</t>
  </si>
  <si>
    <t>435,00 (580,00)</t>
  </si>
  <si>
    <t>430 (490,00) (585,00)</t>
  </si>
  <si>
    <t>80(100)х80(100)х 3,0</t>
  </si>
  <si>
    <t>45(50)х45(50)х 0,9</t>
  </si>
  <si>
    <t>50х300х 3,0 (4,0)</t>
  </si>
  <si>
    <t>18х200х 1,0 (1,2) (1,5)</t>
  </si>
  <si>
    <t>40х300х 1,0 (1,2)</t>
  </si>
  <si>
    <t>330 (395)</t>
  </si>
  <si>
    <t>Балясина №9 и №11</t>
  </si>
  <si>
    <t>Столб начальный №9 и №11</t>
  </si>
  <si>
    <t>Балясина №4 и №5</t>
  </si>
  <si>
    <t>15х145(137)</t>
  </si>
  <si>
    <t>12,5х95(88)</t>
  </si>
  <si>
    <t>от 2,2 до 3,0</t>
  </si>
  <si>
    <t>26х93</t>
  </si>
  <si>
    <t>от 2,0 до 4,2</t>
  </si>
  <si>
    <t>1800х700 и 1900х700</t>
  </si>
  <si>
    <t>Вагонка, абаши (софтлайн, Африка)</t>
  </si>
  <si>
    <t>Полок, абаши (Африка)</t>
  </si>
  <si>
    <t xml:space="preserve">прайс-лист
14 марта 2011 г. Москва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</si>
</sst>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#,##0.0"/>
    <numFmt numFmtId="173" formatCode="_-[$€-410]\ * #,##0.00_-;\-[$€-410]\ * #,##0.00_-;_-[$€-410]\ * &quot;-&quot;??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20"/>
      <color indexed="8"/>
      <name val="Arial"/>
      <family val="2"/>
    </font>
    <font>
      <sz val="14"/>
      <color indexed="8"/>
      <name val="Arial Black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 Black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 readingOrder="1"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wrapText="1"/>
    </xf>
    <xf numFmtId="0" fontId="70" fillId="0" borderId="0" xfId="0" applyFont="1" applyBorder="1" applyAlignment="1">
      <alignment vertical="center" wrapText="1"/>
    </xf>
    <xf numFmtId="164" fontId="69" fillId="0" borderId="0" xfId="0" applyNumberFormat="1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 shrinkToFit="1"/>
    </xf>
    <xf numFmtId="0" fontId="72" fillId="0" borderId="12" xfId="0" applyFont="1" applyBorder="1" applyAlignment="1">
      <alignment horizontal="center" shrinkToFit="1"/>
    </xf>
    <xf numFmtId="0" fontId="72" fillId="0" borderId="13" xfId="0" applyFont="1" applyBorder="1" applyAlignment="1">
      <alignment horizontal="center" shrinkToFit="1"/>
    </xf>
    <xf numFmtId="0" fontId="72" fillId="33" borderId="13" xfId="0" applyFont="1" applyFill="1" applyBorder="1" applyAlignment="1">
      <alignment horizontal="center" shrinkToFit="1"/>
    </xf>
    <xf numFmtId="2" fontId="72" fillId="34" borderId="13" xfId="0" applyNumberFormat="1" applyFont="1" applyFill="1" applyBorder="1" applyAlignment="1">
      <alignment horizontal="center" shrinkToFit="1"/>
    </xf>
    <xf numFmtId="0" fontId="72" fillId="34" borderId="13" xfId="0" applyFont="1" applyFill="1" applyBorder="1" applyAlignment="1">
      <alignment horizontal="center" shrinkToFit="1"/>
    </xf>
    <xf numFmtId="0" fontId="72" fillId="0" borderId="14" xfId="0" applyFont="1" applyBorder="1" applyAlignment="1">
      <alignment horizontal="center" shrinkToFit="1"/>
    </xf>
    <xf numFmtId="0" fontId="72" fillId="0" borderId="15" xfId="0" applyFont="1" applyBorder="1" applyAlignment="1">
      <alignment horizontal="center" shrinkToFit="1"/>
    </xf>
    <xf numFmtId="0" fontId="72" fillId="33" borderId="15" xfId="0" applyFont="1" applyFill="1" applyBorder="1" applyAlignment="1">
      <alignment horizontal="center" shrinkToFit="1"/>
    </xf>
    <xf numFmtId="2" fontId="72" fillId="34" borderId="15" xfId="0" applyNumberFormat="1" applyFont="1" applyFill="1" applyBorder="1" applyAlignment="1">
      <alignment horizontal="center" shrinkToFit="1"/>
    </xf>
    <xf numFmtId="0" fontId="72" fillId="34" borderId="15" xfId="0" applyFont="1" applyFill="1" applyBorder="1" applyAlignment="1">
      <alignment horizontal="center" vertical="top" shrinkToFit="1"/>
    </xf>
    <xf numFmtId="0" fontId="72" fillId="34" borderId="15" xfId="0" applyFont="1" applyFill="1" applyBorder="1" applyAlignment="1">
      <alignment horizontal="center" shrinkToFit="1"/>
    </xf>
    <xf numFmtId="0" fontId="72" fillId="34" borderId="16" xfId="0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7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 readingOrder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2" fillId="33" borderId="0" xfId="0" applyFont="1" applyFill="1" applyBorder="1" applyAlignment="1">
      <alignment horizontal="left" vertical="center" wrapText="1"/>
    </xf>
    <xf numFmtId="164" fontId="72" fillId="33" borderId="0" xfId="0" applyNumberFormat="1" applyFont="1" applyFill="1" applyBorder="1" applyAlignment="1">
      <alignment horizontal="center" vertical="center" wrapText="1"/>
    </xf>
    <xf numFmtId="2" fontId="72" fillId="33" borderId="0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top" wrapText="1"/>
    </xf>
    <xf numFmtId="2" fontId="72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2" fontId="74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 shrinkToFit="1"/>
    </xf>
    <xf numFmtId="0" fontId="72" fillId="33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72" fillId="0" borderId="13" xfId="0" applyFont="1" applyFill="1" applyBorder="1" applyAlignment="1">
      <alignment horizontal="center" vertical="top" wrapText="1"/>
    </xf>
    <xf numFmtId="0" fontId="72" fillId="0" borderId="19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center" vertical="center"/>
    </xf>
    <xf numFmtId="164" fontId="72" fillId="0" borderId="19" xfId="0" applyNumberFormat="1" applyFont="1" applyFill="1" applyBorder="1" applyAlignment="1">
      <alignment horizontal="center" vertical="center"/>
    </xf>
    <xf numFmtId="2" fontId="72" fillId="0" borderId="19" xfId="0" applyNumberFormat="1" applyFont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72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 shrinkToFit="1"/>
    </xf>
    <xf numFmtId="166" fontId="72" fillId="0" borderId="13" xfId="0" applyNumberFormat="1" applyFont="1" applyBorder="1" applyAlignment="1">
      <alignment horizontal="center" shrinkToFit="1"/>
    </xf>
    <xf numFmtId="166" fontId="72" fillId="0" borderId="15" xfId="0" applyNumberFormat="1" applyFont="1" applyBorder="1" applyAlignment="1">
      <alignment horizontal="center" shrinkToFi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2" fontId="72" fillId="34" borderId="11" xfId="0" applyNumberFormat="1" applyFont="1" applyFill="1" applyBorder="1" applyAlignment="1">
      <alignment horizontal="center" shrinkToFi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166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39" fillId="34" borderId="0" xfId="0" applyFont="1" applyFill="1" applyAlignment="1">
      <alignment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0" fontId="72" fillId="0" borderId="11" xfId="0" applyFont="1" applyFill="1" applyBorder="1" applyAlignment="1" applyProtection="1">
      <alignment horizontal="center" vertical="center" wrapText="1" shrinkToFit="1"/>
      <protection/>
    </xf>
    <xf numFmtId="0" fontId="72" fillId="0" borderId="12" xfId="0" applyFont="1" applyBorder="1" applyAlignment="1" applyProtection="1">
      <alignment horizontal="center" shrinkToFit="1"/>
      <protection/>
    </xf>
    <xf numFmtId="0" fontId="72" fillId="0" borderId="13" xfId="0" applyFont="1" applyBorder="1" applyAlignment="1" applyProtection="1">
      <alignment horizontal="center" shrinkToFit="1"/>
      <protection/>
    </xf>
    <xf numFmtId="166" fontId="72" fillId="0" borderId="13" xfId="0" applyNumberFormat="1" applyFont="1" applyBorder="1" applyAlignment="1" applyProtection="1">
      <alignment horizontal="center" shrinkToFit="1"/>
      <protection/>
    </xf>
    <xf numFmtId="171" fontId="72" fillId="33" borderId="13" xfId="0" applyNumberFormat="1" applyFont="1" applyFill="1" applyBorder="1" applyAlignment="1" applyProtection="1">
      <alignment horizontal="center" vertical="center" shrinkToFit="1"/>
      <protection/>
    </xf>
    <xf numFmtId="1" fontId="72" fillId="34" borderId="13" xfId="0" applyNumberFormat="1" applyFont="1" applyFill="1" applyBorder="1" applyAlignment="1" applyProtection="1">
      <alignment horizontal="center" vertical="center" shrinkToFit="1"/>
      <protection/>
    </xf>
    <xf numFmtId="2" fontId="72" fillId="34" borderId="13" xfId="0" applyNumberFormat="1" applyFont="1" applyFill="1" applyBorder="1" applyAlignment="1" applyProtection="1">
      <alignment horizontal="center" vertical="center" shrinkToFit="1"/>
      <protection/>
    </xf>
    <xf numFmtId="0" fontId="72" fillId="34" borderId="13" xfId="0" applyFont="1" applyFill="1" applyBorder="1" applyAlignment="1" applyProtection="1">
      <alignment horizontal="center" vertical="center" shrinkToFit="1"/>
      <protection/>
    </xf>
    <xf numFmtId="2" fontId="72" fillId="34" borderId="11" xfId="0" applyNumberFormat="1" applyFont="1" applyFill="1" applyBorder="1" applyAlignment="1" applyProtection="1">
      <alignment horizontal="center" vertical="center" shrinkToFit="1"/>
      <protection/>
    </xf>
    <xf numFmtId="0" fontId="72" fillId="0" borderId="0" xfId="0" applyFont="1" applyBorder="1" applyAlignment="1" applyProtection="1">
      <alignment horizontal="center" shrinkToFit="1"/>
      <protection/>
    </xf>
    <xf numFmtId="166" fontId="72" fillId="0" borderId="0" xfId="0" applyNumberFormat="1" applyFont="1" applyBorder="1" applyAlignment="1" applyProtection="1">
      <alignment horizontal="center" shrinkToFit="1"/>
      <protection/>
    </xf>
    <xf numFmtId="171" fontId="72" fillId="33" borderId="0" xfId="0" applyNumberFormat="1" applyFont="1" applyFill="1" applyBorder="1" applyAlignment="1" applyProtection="1">
      <alignment horizontal="center" vertical="center" shrinkToFit="1"/>
      <protection/>
    </xf>
    <xf numFmtId="1" fontId="72" fillId="34" borderId="0" xfId="0" applyNumberFormat="1" applyFont="1" applyFill="1" applyBorder="1" applyAlignment="1" applyProtection="1">
      <alignment horizontal="center" vertical="center" shrinkToFit="1"/>
      <protection/>
    </xf>
    <xf numFmtId="2" fontId="72" fillId="34" borderId="0" xfId="0" applyNumberFormat="1" applyFont="1" applyFill="1" applyBorder="1" applyAlignment="1" applyProtection="1">
      <alignment horizontal="center" vertical="center" shrinkToFit="1"/>
      <protection/>
    </xf>
    <xf numFmtId="0" fontId="72" fillId="34" borderId="0" xfId="0" applyFont="1" applyFill="1" applyBorder="1" applyAlignment="1" applyProtection="1">
      <alignment horizontal="center" vertical="center" shrinkToFit="1"/>
      <protection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1" fontId="72" fillId="34" borderId="20" xfId="0" applyNumberFormat="1" applyFont="1" applyFill="1" applyBorder="1" applyAlignment="1" applyProtection="1">
      <alignment horizontal="center" vertical="center" shrinkToFit="1"/>
      <protection/>
    </xf>
    <xf numFmtId="2" fontId="72" fillId="34" borderId="20" xfId="0" applyNumberFormat="1" applyFont="1" applyFill="1" applyBorder="1" applyAlignment="1" applyProtection="1">
      <alignment horizontal="center" vertical="center" shrinkToFit="1"/>
      <protection/>
    </xf>
    <xf numFmtId="0" fontId="72" fillId="34" borderId="20" xfId="0" applyFont="1" applyFill="1" applyBorder="1" applyAlignment="1" applyProtection="1">
      <alignment horizontal="center" vertical="center" shrinkToFit="1"/>
      <protection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0" fontId="72" fillId="0" borderId="21" xfId="0" applyFont="1" applyBorder="1" applyAlignment="1" applyProtection="1">
      <alignment horizontal="center" shrinkToFit="1"/>
      <protection/>
    </xf>
    <xf numFmtId="166" fontId="72" fillId="0" borderId="21" xfId="0" applyNumberFormat="1" applyFont="1" applyBorder="1" applyAlignment="1" applyProtection="1">
      <alignment horizontal="center" shrinkToFit="1"/>
      <protection/>
    </xf>
    <xf numFmtId="171" fontId="72" fillId="33" borderId="21" xfId="0" applyNumberFormat="1" applyFont="1" applyFill="1" applyBorder="1" applyAlignment="1" applyProtection="1">
      <alignment horizontal="center" vertical="center" shrinkToFit="1"/>
      <protection/>
    </xf>
    <xf numFmtId="2" fontId="72" fillId="34" borderId="21" xfId="0" applyNumberFormat="1" applyFont="1" applyFill="1" applyBorder="1" applyAlignment="1" applyProtection="1">
      <alignment horizontal="center" vertical="center" shrinkToFit="1"/>
      <protection/>
    </xf>
    <xf numFmtId="0" fontId="72" fillId="0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166" fontId="72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2" fillId="0" borderId="13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2" fontId="72" fillId="0" borderId="15" xfId="0" applyNumberFormat="1" applyFont="1" applyBorder="1" applyAlignment="1">
      <alignment horizontal="center" vertical="center" wrapText="1"/>
    </xf>
    <xf numFmtId="2" fontId="72" fillId="0" borderId="16" xfId="0" applyNumberFormat="1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2" fontId="70" fillId="0" borderId="29" xfId="0" applyNumberFormat="1" applyFont="1" applyFill="1" applyBorder="1" applyAlignment="1">
      <alignment horizontal="center" vertical="center" wrapText="1"/>
    </xf>
    <xf numFmtId="2" fontId="70" fillId="0" borderId="30" xfId="0" applyNumberFormat="1" applyFont="1" applyFill="1" applyBorder="1" applyAlignment="1">
      <alignment horizontal="center" vertical="center" wrapText="1"/>
    </xf>
    <xf numFmtId="2" fontId="70" fillId="0" borderId="31" xfId="0" applyNumberFormat="1" applyFont="1" applyFill="1" applyBorder="1" applyAlignment="1">
      <alignment horizontal="center" vertical="center" wrapText="1"/>
    </xf>
    <xf numFmtId="2" fontId="70" fillId="0" borderId="13" xfId="0" applyNumberFormat="1" applyFont="1" applyBorder="1" applyAlignment="1">
      <alignment horizontal="center" vertical="center" wrapText="1"/>
    </xf>
    <xf numFmtId="2" fontId="70" fillId="0" borderId="13" xfId="0" applyNumberFormat="1" applyFont="1" applyFill="1" applyBorder="1" applyAlignment="1">
      <alignment horizontal="center" vertical="center" wrapText="1"/>
    </xf>
    <xf numFmtId="2" fontId="70" fillId="0" borderId="11" xfId="0" applyNumberFormat="1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2" fontId="70" fillId="0" borderId="29" xfId="0" applyNumberFormat="1" applyFont="1" applyBorder="1" applyAlignment="1">
      <alignment horizontal="center" vertical="center" wrapText="1"/>
    </xf>
    <xf numFmtId="2" fontId="70" fillId="0" borderId="30" xfId="0" applyNumberFormat="1" applyFont="1" applyBorder="1" applyAlignment="1">
      <alignment horizontal="center" vertical="center" wrapText="1"/>
    </xf>
    <xf numFmtId="2" fontId="70" fillId="0" borderId="28" xfId="0" applyNumberFormat="1" applyFont="1" applyBorder="1" applyAlignment="1">
      <alignment horizontal="center" vertical="center" wrapText="1"/>
    </xf>
    <xf numFmtId="0" fontId="72" fillId="0" borderId="32" xfId="0" applyFont="1" applyBorder="1" applyAlignment="1" applyProtection="1">
      <alignment horizontal="left" vertical="center" shrinkToFit="1"/>
      <protection/>
    </xf>
    <xf numFmtId="0" fontId="72" fillId="0" borderId="20" xfId="0" applyFont="1" applyBorder="1" applyAlignment="1" applyProtection="1">
      <alignment horizontal="left" vertical="center" shrinkToFit="1"/>
      <protection/>
    </xf>
    <xf numFmtId="0" fontId="72" fillId="0" borderId="33" xfId="0" applyFont="1" applyBorder="1" applyAlignment="1" applyProtection="1">
      <alignment horizontal="left" vertical="center" shrinkToFit="1"/>
      <protection/>
    </xf>
    <xf numFmtId="2" fontId="72" fillId="34" borderId="29" xfId="0" applyNumberFormat="1" applyFont="1" applyFill="1" applyBorder="1" applyAlignment="1" applyProtection="1">
      <alignment horizontal="center" vertical="center" shrinkToFit="1"/>
      <protection/>
    </xf>
    <xf numFmtId="2" fontId="72" fillId="34" borderId="28" xfId="0" applyNumberFormat="1" applyFont="1" applyFill="1" applyBorder="1" applyAlignment="1" applyProtection="1">
      <alignment horizontal="center" vertical="center" shrinkToFit="1"/>
      <protection/>
    </xf>
    <xf numFmtId="2" fontId="72" fillId="34" borderId="31" xfId="0" applyNumberFormat="1" applyFont="1" applyFill="1" applyBorder="1" applyAlignment="1" applyProtection="1">
      <alignment horizontal="center" vertical="center" shrinkToFit="1"/>
      <protection/>
    </xf>
    <xf numFmtId="0" fontId="75" fillId="0" borderId="34" xfId="0" applyFont="1" applyBorder="1" applyAlignment="1">
      <alignment horizontal="left" vertical="center"/>
    </xf>
    <xf numFmtId="0" fontId="75" fillId="0" borderId="22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0" fontId="72" fillId="0" borderId="13" xfId="0" applyFont="1" applyFill="1" applyBorder="1" applyAlignment="1" applyProtection="1">
      <alignment horizontal="center" vertical="center" shrinkToFit="1"/>
      <protection/>
    </xf>
    <xf numFmtId="0" fontId="72" fillId="0" borderId="12" xfId="0" applyFont="1" applyFill="1" applyBorder="1" applyAlignment="1" applyProtection="1">
      <alignment horizontal="center" vertical="center" wrapText="1" shrinkToFit="1"/>
      <protection/>
    </xf>
    <xf numFmtId="0" fontId="72" fillId="0" borderId="12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 shrinkToFit="1"/>
    </xf>
    <xf numFmtId="0" fontId="72" fillId="0" borderId="38" xfId="0" applyFont="1" applyFill="1" applyBorder="1" applyAlignment="1">
      <alignment horizontal="center" vertical="center" wrapText="1" shrinkToFit="1"/>
    </xf>
    <xf numFmtId="0" fontId="72" fillId="0" borderId="37" xfId="0" applyFont="1" applyFill="1" applyBorder="1" applyAlignment="1">
      <alignment horizontal="center" vertical="center" wrapText="1" shrinkToFit="1"/>
    </xf>
    <xf numFmtId="2" fontId="72" fillId="0" borderId="13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2" fontId="72" fillId="34" borderId="39" xfId="0" applyNumberFormat="1" applyFont="1" applyFill="1" applyBorder="1" applyAlignment="1" applyProtection="1">
      <alignment horizontal="center" vertical="center" shrinkToFit="1"/>
      <protection/>
    </xf>
    <xf numFmtId="2" fontId="72" fillId="34" borderId="40" xfId="0" applyNumberFormat="1" applyFont="1" applyFill="1" applyBorder="1" applyAlignment="1" applyProtection="1">
      <alignment horizontal="center" vertical="center" shrinkToFit="1"/>
      <protection/>
    </xf>
    <xf numFmtId="0" fontId="72" fillId="0" borderId="41" xfId="0" applyFont="1" applyFill="1" applyBorder="1" applyAlignment="1">
      <alignment horizontal="center" vertical="center" wrapText="1" shrinkToFit="1"/>
    </xf>
    <xf numFmtId="0" fontId="72" fillId="0" borderId="20" xfId="0" applyFont="1" applyFill="1" applyBorder="1" applyAlignment="1">
      <alignment horizontal="center" vertical="center" wrapText="1" shrinkToFit="1"/>
    </xf>
    <xf numFmtId="0" fontId="72" fillId="0" borderId="33" xfId="0" applyFont="1" applyFill="1" applyBorder="1" applyAlignment="1">
      <alignment horizontal="center" vertical="center" wrapText="1" shrinkToFit="1"/>
    </xf>
    <xf numFmtId="164" fontId="5" fillId="0" borderId="2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72" fillId="34" borderId="42" xfId="0" applyNumberFormat="1" applyFont="1" applyFill="1" applyBorder="1" applyAlignment="1" applyProtection="1">
      <alignment horizontal="center" vertical="center" shrinkToFi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5" fillId="0" borderId="34" xfId="0" applyFont="1" applyFill="1" applyBorder="1" applyAlignment="1">
      <alignment horizontal="left" vertical="center"/>
    </xf>
    <xf numFmtId="0" fontId="75" fillId="0" borderId="22" xfId="0" applyFont="1" applyFill="1" applyBorder="1" applyAlignment="1">
      <alignment horizontal="left" vertical="center"/>
    </xf>
    <xf numFmtId="0" fontId="75" fillId="0" borderId="3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2" fontId="72" fillId="0" borderId="36" xfId="0" applyNumberFormat="1" applyFont="1" applyBorder="1" applyAlignment="1">
      <alignment horizontal="center" wrapText="1"/>
    </xf>
    <xf numFmtId="2" fontId="72" fillId="0" borderId="38" xfId="0" applyNumberFormat="1" applyFont="1" applyBorder="1" applyAlignment="1">
      <alignment horizontal="center" wrapText="1"/>
    </xf>
    <xf numFmtId="2" fontId="72" fillId="0" borderId="45" xfId="0" applyNumberFormat="1" applyFont="1" applyBorder="1" applyAlignment="1">
      <alignment horizontal="center" wrapText="1"/>
    </xf>
    <xf numFmtId="2" fontId="72" fillId="34" borderId="13" xfId="0" applyNumberFormat="1" applyFont="1" applyFill="1" applyBorder="1" applyAlignment="1">
      <alignment horizontal="center" vertical="center" wrapText="1"/>
    </xf>
    <xf numFmtId="2" fontId="72" fillId="34" borderId="11" xfId="0" applyNumberFormat="1" applyFont="1" applyFill="1" applyBorder="1" applyAlignment="1">
      <alignment horizontal="center" vertical="center" wrapText="1"/>
    </xf>
    <xf numFmtId="2" fontId="72" fillId="34" borderId="15" xfId="0" applyNumberFormat="1" applyFont="1" applyFill="1" applyBorder="1" applyAlignment="1">
      <alignment horizontal="center" vertical="center" wrapText="1"/>
    </xf>
    <xf numFmtId="2" fontId="72" fillId="34" borderId="16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2" fontId="72" fillId="0" borderId="36" xfId="0" applyNumberFormat="1" applyFont="1" applyFill="1" applyBorder="1" applyAlignment="1">
      <alignment horizontal="center" vertical="center" wrapText="1"/>
    </xf>
    <xf numFmtId="2" fontId="72" fillId="0" borderId="38" xfId="0" applyNumberFormat="1" applyFont="1" applyFill="1" applyBorder="1" applyAlignment="1">
      <alignment horizontal="center" vertical="center" wrapText="1"/>
    </xf>
    <xf numFmtId="2" fontId="72" fillId="0" borderId="45" xfId="0" applyNumberFormat="1" applyFont="1" applyFill="1" applyBorder="1" applyAlignment="1">
      <alignment horizontal="center" vertical="center" wrapText="1"/>
    </xf>
    <xf numFmtId="2" fontId="72" fillId="0" borderId="3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164" fontId="5" fillId="0" borderId="5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56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8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164" fontId="5" fillId="0" borderId="54" xfId="0" applyNumberFormat="1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/>
    </xf>
    <xf numFmtId="2" fontId="72" fillId="0" borderId="36" xfId="0" applyNumberFormat="1" applyFont="1" applyFill="1" applyBorder="1" applyAlignment="1">
      <alignment horizontal="center" vertical="center"/>
    </xf>
    <xf numFmtId="2" fontId="72" fillId="0" borderId="38" xfId="0" applyNumberFormat="1" applyFont="1" applyFill="1" applyBorder="1" applyAlignment="1">
      <alignment horizontal="center" vertical="center"/>
    </xf>
    <xf numFmtId="2" fontId="72" fillId="0" borderId="45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2" fillId="0" borderId="48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1" fontId="72" fillId="0" borderId="13" xfId="0" applyNumberFormat="1" applyFont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2" fillId="0" borderId="57" xfId="0" applyFont="1" applyBorder="1" applyAlignment="1" applyProtection="1">
      <alignment horizontal="left" vertical="center" shrinkToFit="1"/>
      <protection/>
    </xf>
    <xf numFmtId="0" fontId="72" fillId="0" borderId="38" xfId="0" applyFont="1" applyBorder="1" applyAlignment="1" applyProtection="1">
      <alignment horizontal="left" vertical="center" shrinkToFit="1"/>
      <protection/>
    </xf>
    <xf numFmtId="0" fontId="72" fillId="0" borderId="37" xfId="0" applyFont="1" applyBorder="1" applyAlignment="1" applyProtection="1">
      <alignment horizontal="left" vertical="center" shrinkToFit="1"/>
      <protection/>
    </xf>
    <xf numFmtId="0" fontId="76" fillId="0" borderId="36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76" fillId="0" borderId="45" xfId="0" applyFont="1" applyBorder="1" applyAlignment="1">
      <alignment horizontal="center"/>
    </xf>
    <xf numFmtId="0" fontId="72" fillId="35" borderId="12" xfId="0" applyFont="1" applyFill="1" applyBorder="1" applyAlignment="1">
      <alignment horizontal="left" vertical="center"/>
    </xf>
    <xf numFmtId="0" fontId="72" fillId="35" borderId="13" xfId="0" applyFont="1" applyFill="1" applyBorder="1" applyAlignment="1">
      <alignment horizontal="left" vertical="center"/>
    </xf>
    <xf numFmtId="0" fontId="72" fillId="0" borderId="36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64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75" fillId="0" borderId="60" xfId="0" applyFont="1" applyBorder="1" applyAlignment="1">
      <alignment horizontal="center" vertical="center"/>
    </xf>
    <xf numFmtId="0" fontId="75" fillId="0" borderId="70" xfId="0" applyFont="1" applyBorder="1" applyAlignment="1">
      <alignment horizontal="center" vertical="center"/>
    </xf>
    <xf numFmtId="0" fontId="75" fillId="0" borderId="71" xfId="0" applyFont="1" applyBorder="1" applyAlignment="1">
      <alignment horizontal="center" vertical="center"/>
    </xf>
    <xf numFmtId="2" fontId="74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7" fillId="0" borderId="69" xfId="0" applyFont="1" applyBorder="1" applyAlignment="1">
      <alignment horizontal="left" vertical="center"/>
    </xf>
    <xf numFmtId="0" fontId="77" fillId="0" borderId="70" xfId="0" applyFont="1" applyBorder="1" applyAlignment="1">
      <alignment horizontal="left" vertical="center"/>
    </xf>
    <xf numFmtId="0" fontId="77" fillId="0" borderId="61" xfId="0" applyFont="1" applyBorder="1" applyAlignment="1">
      <alignment horizontal="left" vertical="center"/>
    </xf>
    <xf numFmtId="0" fontId="76" fillId="0" borderId="57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76" fillId="0" borderId="57" xfId="0" applyFont="1" applyBorder="1" applyAlignment="1">
      <alignment horizontal="left" vertical="center" wrapText="1"/>
    </xf>
    <xf numFmtId="0" fontId="76" fillId="0" borderId="38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left" vertical="center" wrapText="1"/>
    </xf>
    <xf numFmtId="0" fontId="76" fillId="0" borderId="27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left" vertical="center" wrapText="1"/>
    </xf>
    <xf numFmtId="2" fontId="72" fillId="0" borderId="29" xfId="0" applyNumberFormat="1" applyFont="1" applyBorder="1" applyAlignment="1">
      <alignment horizontal="center" vertical="center"/>
    </xf>
    <xf numFmtId="2" fontId="72" fillId="0" borderId="30" xfId="0" applyNumberFormat="1" applyFont="1" applyBorder="1" applyAlignment="1">
      <alignment horizontal="center" vertical="center"/>
    </xf>
    <xf numFmtId="2" fontId="72" fillId="0" borderId="31" xfId="0" applyNumberFormat="1" applyFont="1" applyBorder="1" applyAlignment="1">
      <alignment horizontal="center" vertical="center"/>
    </xf>
    <xf numFmtId="173" fontId="3" fillId="0" borderId="36" xfId="0" applyNumberFormat="1" applyFont="1" applyBorder="1" applyAlignment="1">
      <alignment horizontal="center" vertical="center"/>
    </xf>
    <xf numFmtId="173" fontId="3" fillId="0" borderId="38" xfId="0" applyNumberFormat="1" applyFont="1" applyBorder="1" applyAlignment="1">
      <alignment horizontal="center" vertical="center"/>
    </xf>
    <xf numFmtId="173" fontId="3" fillId="0" borderId="45" xfId="0" applyNumberFormat="1" applyFont="1" applyBorder="1" applyAlignment="1">
      <alignment horizontal="center" vertical="center"/>
    </xf>
    <xf numFmtId="2" fontId="72" fillId="0" borderId="36" xfId="0" applyNumberFormat="1" applyFont="1" applyBorder="1" applyAlignment="1">
      <alignment horizontal="center" vertical="center"/>
    </xf>
    <xf numFmtId="2" fontId="72" fillId="0" borderId="38" xfId="0" applyNumberFormat="1" applyFont="1" applyBorder="1" applyAlignment="1">
      <alignment horizontal="center" vertical="center"/>
    </xf>
    <xf numFmtId="2" fontId="72" fillId="0" borderId="45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2" fontId="72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wrapText="1"/>
    </xf>
    <xf numFmtId="2" fontId="5" fillId="0" borderId="38" xfId="0" applyNumberFormat="1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center" wrapText="1"/>
    </xf>
    <xf numFmtId="0" fontId="72" fillId="0" borderId="15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2" fontId="72" fillId="0" borderId="37" xfId="0" applyNumberFormat="1" applyFont="1" applyBorder="1" applyAlignment="1">
      <alignment horizontal="center" vertical="center"/>
    </xf>
    <xf numFmtId="2" fontId="72" fillId="0" borderId="15" xfId="0" applyNumberFormat="1" applyFont="1" applyBorder="1" applyAlignment="1">
      <alignment horizontal="center" vertical="center"/>
    </xf>
    <xf numFmtId="0" fontId="72" fillId="0" borderId="14" xfId="0" applyFont="1" applyBorder="1" applyAlignment="1">
      <alignment horizontal="left" wrapText="1"/>
    </xf>
    <xf numFmtId="0" fontId="72" fillId="0" borderId="15" xfId="0" applyFont="1" applyBorder="1" applyAlignment="1">
      <alignment horizontal="left" wrapText="1"/>
    </xf>
    <xf numFmtId="0" fontId="75" fillId="0" borderId="69" xfId="0" applyFont="1" applyBorder="1" applyAlignment="1">
      <alignment horizontal="left" vertical="center"/>
    </xf>
    <xf numFmtId="0" fontId="75" fillId="0" borderId="70" xfId="0" applyFont="1" applyBorder="1" applyAlignment="1">
      <alignment horizontal="left" vertical="center"/>
    </xf>
    <xf numFmtId="0" fontId="75" fillId="0" borderId="71" xfId="0" applyFont="1" applyBorder="1" applyAlignment="1">
      <alignment horizontal="left" vertical="center"/>
    </xf>
    <xf numFmtId="2" fontId="72" fillId="0" borderId="29" xfId="0" applyNumberFormat="1" applyFont="1" applyFill="1" applyBorder="1" applyAlignment="1">
      <alignment horizontal="center" vertical="center"/>
    </xf>
    <xf numFmtId="2" fontId="72" fillId="0" borderId="30" xfId="0" applyNumberFormat="1" applyFont="1" applyFill="1" applyBorder="1" applyAlignment="1">
      <alignment horizontal="center" vertical="center"/>
    </xf>
    <xf numFmtId="2" fontId="72" fillId="0" borderId="31" xfId="0" applyNumberFormat="1" applyFont="1" applyFill="1" applyBorder="1" applyAlignment="1">
      <alignment horizontal="center" vertical="center"/>
    </xf>
    <xf numFmtId="0" fontId="72" fillId="35" borderId="57" xfId="0" applyFont="1" applyFill="1" applyBorder="1" applyAlignment="1">
      <alignment horizontal="left" vertical="center"/>
    </xf>
    <xf numFmtId="0" fontId="72" fillId="35" borderId="38" xfId="0" applyFont="1" applyFill="1" applyBorder="1" applyAlignment="1">
      <alignment horizontal="left" vertical="center"/>
    </xf>
    <xf numFmtId="0" fontId="72" fillId="35" borderId="37" xfId="0" applyFont="1" applyFill="1" applyBorder="1" applyAlignment="1">
      <alignment horizontal="left" vertical="center"/>
    </xf>
    <xf numFmtId="0" fontId="74" fillId="0" borderId="29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2" fillId="0" borderId="66" xfId="0" applyFont="1" applyFill="1" applyBorder="1" applyAlignment="1">
      <alignment horizontal="center" vertical="center" wrapText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72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2" fontId="72" fillId="0" borderId="36" xfId="0" applyNumberFormat="1" applyFont="1" applyBorder="1" applyAlignment="1">
      <alignment horizontal="center" vertical="center" wrapText="1"/>
    </xf>
    <xf numFmtId="2" fontId="72" fillId="0" borderId="45" xfId="0" applyNumberFormat="1" applyFont="1" applyBorder="1" applyAlignment="1">
      <alignment horizontal="center" vertical="center" wrapText="1"/>
    </xf>
    <xf numFmtId="2" fontId="72" fillId="0" borderId="13" xfId="0" applyNumberFormat="1" applyFont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shrinkToFit="1"/>
      <protection/>
    </xf>
    <xf numFmtId="2" fontId="72" fillId="34" borderId="36" xfId="0" applyNumberFormat="1" applyFont="1" applyFill="1" applyBorder="1" applyAlignment="1" applyProtection="1">
      <alignment horizontal="center" vertical="center" shrinkToFit="1"/>
      <protection/>
    </xf>
    <xf numFmtId="2" fontId="72" fillId="34" borderId="37" xfId="0" applyNumberFormat="1" applyFont="1" applyFill="1" applyBorder="1" applyAlignment="1" applyProtection="1">
      <alignment horizontal="center" vertical="center" shrinkToFit="1"/>
      <protection/>
    </xf>
    <xf numFmtId="0" fontId="9" fillId="0" borderId="3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top" wrapText="1"/>
    </xf>
    <xf numFmtId="0" fontId="72" fillId="0" borderId="5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38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top" wrapText="1"/>
    </xf>
    <xf numFmtId="2" fontId="72" fillId="0" borderId="13" xfId="0" applyNumberFormat="1" applyFont="1" applyFill="1" applyBorder="1" applyAlignment="1">
      <alignment horizontal="center" vertical="top" wrapText="1"/>
    </xf>
    <xf numFmtId="2" fontId="74" fillId="0" borderId="13" xfId="0" applyNumberFormat="1" applyFont="1" applyBorder="1" applyAlignment="1">
      <alignment horizontal="center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/>
    </xf>
    <xf numFmtId="2" fontId="72" fillId="0" borderId="13" xfId="0" applyNumberFormat="1" applyFont="1" applyBorder="1" applyAlignment="1">
      <alignment horizontal="center"/>
    </xf>
    <xf numFmtId="0" fontId="74" fillId="0" borderId="14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9" fillId="0" borderId="69" xfId="0" applyFont="1" applyBorder="1" applyAlignment="1">
      <alignment horizontal="left" vertical="center" wrapText="1"/>
    </xf>
    <xf numFmtId="0" fontId="79" fillId="0" borderId="70" xfId="0" applyFont="1" applyBorder="1" applyAlignment="1">
      <alignment horizontal="left" vertical="center" wrapText="1"/>
    </xf>
    <xf numFmtId="0" fontId="79" fillId="0" borderId="7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4" fillId="0" borderId="36" xfId="0" applyFont="1" applyBorder="1" applyAlignment="1">
      <alignment horizontal="center" wrapText="1"/>
    </xf>
    <xf numFmtId="0" fontId="74" fillId="0" borderId="38" xfId="0" applyFont="1" applyBorder="1" applyAlignment="1">
      <alignment horizontal="center" wrapText="1"/>
    </xf>
    <xf numFmtId="0" fontId="74" fillId="0" borderId="45" xfId="0" applyFont="1" applyBorder="1" applyAlignment="1">
      <alignment horizontal="center" wrapText="1"/>
    </xf>
    <xf numFmtId="2" fontId="74" fillId="0" borderId="36" xfId="0" applyNumberFormat="1" applyFont="1" applyBorder="1" applyAlignment="1">
      <alignment horizontal="center" vertical="center"/>
    </xf>
    <xf numFmtId="2" fontId="74" fillId="0" borderId="38" xfId="0" applyNumberFormat="1" applyFont="1" applyBorder="1" applyAlignment="1">
      <alignment horizontal="center" vertical="center"/>
    </xf>
    <xf numFmtId="2" fontId="74" fillId="0" borderId="37" xfId="0" applyNumberFormat="1" applyFont="1" applyBorder="1" applyAlignment="1">
      <alignment horizontal="center" vertical="center"/>
    </xf>
    <xf numFmtId="0" fontId="74" fillId="0" borderId="57" xfId="0" applyFont="1" applyBorder="1" applyAlignment="1">
      <alignment horizontal="left" vertical="center" wrapText="1"/>
    </xf>
    <xf numFmtId="0" fontId="74" fillId="0" borderId="38" xfId="0" applyFont="1" applyBorder="1" applyAlignment="1">
      <alignment horizontal="left" vertical="center" wrapText="1"/>
    </xf>
    <xf numFmtId="0" fontId="74" fillId="0" borderId="37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/>
    </xf>
    <xf numFmtId="0" fontId="75" fillId="0" borderId="72" xfId="0" applyFont="1" applyBorder="1" applyAlignment="1">
      <alignment horizontal="left" vertical="center"/>
    </xf>
    <xf numFmtId="0" fontId="75" fillId="0" borderId="40" xfId="0" applyFont="1" applyBorder="1" applyAlignment="1">
      <alignment horizontal="left" vertical="center"/>
    </xf>
    <xf numFmtId="0" fontId="72" fillId="35" borderId="29" xfId="0" applyFont="1" applyFill="1" applyBorder="1" applyAlignment="1">
      <alignment horizontal="center" vertical="center"/>
    </xf>
    <xf numFmtId="0" fontId="72" fillId="35" borderId="30" xfId="0" applyFont="1" applyFill="1" applyBorder="1" applyAlignment="1">
      <alignment horizontal="center" vertical="center"/>
    </xf>
    <xf numFmtId="0" fontId="72" fillId="35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72" fillId="35" borderId="27" xfId="0" applyFont="1" applyFill="1" applyBorder="1" applyAlignment="1">
      <alignment horizontal="left" vertical="center"/>
    </xf>
    <xf numFmtId="0" fontId="72" fillId="35" borderId="30" xfId="0" applyFont="1" applyFill="1" applyBorder="1" applyAlignment="1">
      <alignment horizontal="left" vertical="center"/>
    </xf>
    <xf numFmtId="0" fontId="72" fillId="35" borderId="28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left" vertical="center"/>
    </xf>
    <xf numFmtId="0" fontId="72" fillId="0" borderId="38" xfId="0" applyFont="1" applyFill="1" applyBorder="1" applyAlignment="1">
      <alignment horizontal="left" vertical="center"/>
    </xf>
    <xf numFmtId="0" fontId="72" fillId="0" borderId="37" xfId="0" applyFont="1" applyFill="1" applyBorder="1" applyAlignment="1">
      <alignment horizontal="left" vertical="center"/>
    </xf>
    <xf numFmtId="0" fontId="80" fillId="0" borderId="69" xfId="0" applyFont="1" applyBorder="1" applyAlignment="1">
      <alignment horizontal="left" vertical="center"/>
    </xf>
    <xf numFmtId="0" fontId="80" fillId="0" borderId="70" xfId="0" applyFont="1" applyBorder="1" applyAlignment="1">
      <alignment horizontal="left" vertical="center"/>
    </xf>
    <xf numFmtId="0" fontId="80" fillId="0" borderId="71" xfId="0" applyFont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72" fillId="0" borderId="13" xfId="0" applyFont="1" applyFill="1" applyBorder="1" applyAlignment="1" applyProtection="1">
      <alignment horizontal="center" vertical="center" wrapText="1" shrinkToFit="1"/>
      <protection/>
    </xf>
    <xf numFmtId="0" fontId="72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72" fillId="0" borderId="13" xfId="0" applyNumberFormat="1" applyFont="1" applyFill="1" applyBorder="1" applyAlignment="1">
      <alignment horizontal="center" vertical="center"/>
    </xf>
    <xf numFmtId="0" fontId="72" fillId="0" borderId="57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4" fontId="72" fillId="0" borderId="13" xfId="0" applyNumberFormat="1" applyFont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>
      <alignment horizontal="left" vertical="center" wrapText="1"/>
    </xf>
    <xf numFmtId="164" fontId="72" fillId="33" borderId="13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left" vertical="center" wrapText="1"/>
    </xf>
    <xf numFmtId="0" fontId="72" fillId="33" borderId="15" xfId="0" applyFont="1" applyFill="1" applyBorder="1" applyAlignment="1">
      <alignment horizontal="left" vertical="center" wrapText="1"/>
    </xf>
    <xf numFmtId="2" fontId="72" fillId="33" borderId="13" xfId="0" applyNumberFormat="1" applyFont="1" applyFill="1" applyBorder="1" applyAlignment="1">
      <alignment horizontal="center" vertical="center" wrapText="1"/>
    </xf>
    <xf numFmtId="2" fontId="72" fillId="0" borderId="15" xfId="0" applyNumberFormat="1" applyFont="1" applyFill="1" applyBorder="1" applyAlignment="1">
      <alignment horizontal="center" vertical="center"/>
    </xf>
    <xf numFmtId="164" fontId="72" fillId="0" borderId="36" xfId="0" applyNumberFormat="1" applyFont="1" applyFill="1" applyBorder="1" applyAlignment="1">
      <alignment horizontal="center" vertical="center" wrapText="1"/>
    </xf>
    <xf numFmtId="164" fontId="72" fillId="0" borderId="37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top"/>
    </xf>
    <xf numFmtId="0" fontId="72" fillId="0" borderId="27" xfId="0" applyFont="1" applyFill="1" applyBorder="1" applyAlignment="1">
      <alignment horizontal="left" vertical="center" wrapText="1"/>
    </xf>
    <xf numFmtId="0" fontId="72" fillId="0" borderId="30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72" fillId="0" borderId="57" xfId="0" applyFont="1" applyFill="1" applyBorder="1" applyAlignment="1">
      <alignment horizontal="left" vertical="center" wrapText="1"/>
    </xf>
    <xf numFmtId="0" fontId="72" fillId="0" borderId="38" xfId="0" applyFont="1" applyFill="1" applyBorder="1" applyAlignment="1">
      <alignment horizontal="left" vertical="center" wrapText="1"/>
    </xf>
    <xf numFmtId="0" fontId="72" fillId="0" borderId="37" xfId="0" applyFont="1" applyFill="1" applyBorder="1" applyAlignment="1">
      <alignment horizontal="left" vertical="center" wrapText="1"/>
    </xf>
    <xf numFmtId="2" fontId="72" fillId="0" borderId="36" xfId="0" applyNumberFormat="1" applyFont="1" applyFill="1" applyBorder="1" applyAlignment="1">
      <alignment horizontal="center" vertical="top" wrapText="1"/>
    </xf>
    <xf numFmtId="2" fontId="72" fillId="0" borderId="38" xfId="0" applyNumberFormat="1" applyFont="1" applyFill="1" applyBorder="1" applyAlignment="1">
      <alignment horizontal="center" vertical="top" wrapText="1"/>
    </xf>
    <xf numFmtId="2" fontId="72" fillId="0" borderId="37" xfId="0" applyNumberFormat="1" applyFont="1" applyFill="1" applyBorder="1" applyAlignment="1">
      <alignment horizontal="center" vertical="top" wrapText="1"/>
    </xf>
    <xf numFmtId="0" fontId="72" fillId="0" borderId="36" xfId="0" applyFont="1" applyFill="1" applyBorder="1" applyAlignment="1">
      <alignment horizontal="center" vertical="top" wrapText="1"/>
    </xf>
    <xf numFmtId="0" fontId="72" fillId="0" borderId="37" xfId="0" applyFont="1" applyFill="1" applyBorder="1" applyAlignment="1">
      <alignment horizontal="center" vertical="top" wrapText="1"/>
    </xf>
    <xf numFmtId="2" fontId="72" fillId="0" borderId="11" xfId="0" applyNumberFormat="1" applyFont="1" applyFill="1" applyBorder="1" applyAlignment="1">
      <alignment horizontal="center" vertical="top" wrapText="1"/>
    </xf>
    <xf numFmtId="2" fontId="72" fillId="0" borderId="45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166" fontId="72" fillId="0" borderId="13" xfId="0" applyNumberFormat="1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166" fontId="72" fillId="0" borderId="1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6" fontId="5" fillId="0" borderId="38" xfId="0" applyNumberFormat="1" applyFont="1" applyBorder="1" applyAlignment="1">
      <alignment horizontal="center" vertical="center" wrapText="1"/>
    </xf>
    <xf numFmtId="166" fontId="5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6" fontId="72" fillId="0" borderId="36" xfId="0" applyNumberFormat="1" applyFont="1" applyBorder="1" applyAlignment="1">
      <alignment horizontal="center" vertical="center" wrapText="1"/>
    </xf>
    <xf numFmtId="166" fontId="72" fillId="0" borderId="38" xfId="0" applyNumberFormat="1" applyFont="1" applyBorder="1" applyAlignment="1">
      <alignment horizontal="center" vertical="center" wrapText="1"/>
    </xf>
    <xf numFmtId="166" fontId="72" fillId="0" borderId="37" xfId="0" applyNumberFormat="1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 shrinkToFit="1"/>
    </xf>
    <xf numFmtId="2" fontId="72" fillId="0" borderId="23" xfId="0" applyNumberFormat="1" applyFont="1" applyFill="1" applyBorder="1" applyAlignment="1">
      <alignment horizontal="center" vertical="center" wrapText="1"/>
    </xf>
    <xf numFmtId="2" fontId="72" fillId="0" borderId="47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2" fontId="72" fillId="0" borderId="44" xfId="0" applyNumberFormat="1" applyFont="1" applyBorder="1" applyAlignment="1">
      <alignment horizontal="center" vertical="center" wrapText="1"/>
    </xf>
    <xf numFmtId="2" fontId="72" fillId="0" borderId="56" xfId="0" applyNumberFormat="1" applyFont="1" applyBorder="1" applyAlignment="1">
      <alignment horizontal="center" vertical="center" wrapText="1"/>
    </xf>
    <xf numFmtId="2" fontId="72" fillId="0" borderId="11" xfId="0" applyNumberFormat="1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2" fontId="72" fillId="0" borderId="22" xfId="0" applyNumberFormat="1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center" wrapText="1"/>
    </xf>
    <xf numFmtId="2" fontId="72" fillId="0" borderId="13" xfId="0" applyNumberFormat="1" applyFont="1" applyBorder="1" applyAlignment="1">
      <alignment horizontal="center" wrapText="1"/>
    </xf>
    <xf numFmtId="2" fontId="72" fillId="0" borderId="11" xfId="0" applyNumberFormat="1" applyFont="1" applyBorder="1" applyAlignment="1">
      <alignment horizontal="center" wrapText="1"/>
    </xf>
    <xf numFmtId="0" fontId="72" fillId="0" borderId="34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wrapText="1" readingOrder="1"/>
    </xf>
    <xf numFmtId="0" fontId="12" fillId="0" borderId="44" xfId="0" applyFont="1" applyBorder="1" applyAlignment="1">
      <alignment horizontal="center" wrapText="1" readingOrder="1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shrinkToFit="1"/>
    </xf>
    <xf numFmtId="0" fontId="72" fillId="0" borderId="12" xfId="0" applyFont="1" applyFill="1" applyBorder="1" applyAlignment="1">
      <alignment horizontal="center" vertical="center" wrapText="1" shrinkToFit="1"/>
    </xf>
    <xf numFmtId="2" fontId="70" fillId="0" borderId="36" xfId="0" applyNumberFormat="1" applyFont="1" applyBorder="1" applyAlignment="1">
      <alignment horizontal="center" vertical="center" wrapText="1"/>
    </xf>
    <xf numFmtId="2" fontId="70" fillId="0" borderId="38" xfId="0" applyNumberFormat="1" applyFont="1" applyBorder="1" applyAlignment="1">
      <alignment horizontal="center" vertical="center" wrapText="1"/>
    </xf>
    <xf numFmtId="2" fontId="70" fillId="0" borderId="37" xfId="0" applyNumberFormat="1" applyFont="1" applyBorder="1" applyAlignment="1">
      <alignment horizontal="center" vertical="center" wrapText="1"/>
    </xf>
    <xf numFmtId="2" fontId="70" fillId="0" borderId="45" xfId="0" applyNumberFormat="1" applyFont="1" applyBorder="1" applyAlignment="1">
      <alignment horizontal="center" vertical="center" wrapText="1"/>
    </xf>
    <xf numFmtId="2" fontId="72" fillId="0" borderId="15" xfId="0" applyNumberFormat="1" applyFont="1" applyBorder="1" applyAlignment="1">
      <alignment horizontal="center" wrapText="1"/>
    </xf>
    <xf numFmtId="2" fontId="72" fillId="0" borderId="16" xfId="0" applyNumberFormat="1" applyFont="1" applyBorder="1" applyAlignment="1">
      <alignment horizontal="center" wrapText="1"/>
    </xf>
    <xf numFmtId="2" fontId="70" fillId="0" borderId="36" xfId="0" applyNumberFormat="1" applyFont="1" applyFill="1" applyBorder="1" applyAlignment="1">
      <alignment horizontal="center" vertical="center" wrapText="1"/>
    </xf>
    <xf numFmtId="2" fontId="70" fillId="0" borderId="38" xfId="0" applyNumberFormat="1" applyFont="1" applyFill="1" applyBorder="1" applyAlignment="1">
      <alignment horizontal="center" vertical="center" wrapText="1"/>
    </xf>
    <xf numFmtId="2" fontId="70" fillId="0" borderId="4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6" fontId="5" fillId="34" borderId="15" xfId="0" applyNumberFormat="1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/>
    </xf>
    <xf numFmtId="166" fontId="72" fillId="34" borderId="13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72" fillId="0" borderId="34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2" fontId="72" fillId="0" borderId="24" xfId="0" applyNumberFormat="1" applyFont="1" applyBorder="1" applyAlignment="1">
      <alignment horizontal="center" vertical="center" wrapText="1"/>
    </xf>
    <xf numFmtId="2" fontId="72" fillId="0" borderId="51" xfId="0" applyNumberFormat="1" applyFont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164" fontId="9" fillId="0" borderId="69" xfId="0" applyNumberFormat="1" applyFont="1" applyFill="1" applyBorder="1" applyAlignment="1">
      <alignment horizontal="left" vertical="center" wrapText="1"/>
    </xf>
    <xf numFmtId="164" fontId="9" fillId="0" borderId="70" xfId="0" applyNumberFormat="1" applyFont="1" applyFill="1" applyBorder="1" applyAlignment="1">
      <alignment horizontal="left" vertical="center" wrapText="1"/>
    </xf>
    <xf numFmtId="164" fontId="9" fillId="0" borderId="71" xfId="0" applyNumberFormat="1" applyFont="1" applyFill="1" applyBorder="1" applyAlignment="1">
      <alignment horizontal="left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75" fillId="0" borderId="34" xfId="0" applyFont="1" applyBorder="1" applyAlignment="1" applyProtection="1">
      <alignment horizontal="left" vertical="center"/>
      <protection/>
    </xf>
    <xf numFmtId="0" fontId="75" fillId="0" borderId="22" xfId="0" applyFont="1" applyBorder="1" applyAlignment="1" applyProtection="1">
      <alignment horizontal="left" vertical="center"/>
      <protection/>
    </xf>
    <xf numFmtId="0" fontId="75" fillId="0" borderId="35" xfId="0" applyFont="1" applyBorder="1" applyAlignment="1" applyProtection="1">
      <alignment horizontal="left" vertical="center"/>
      <protection/>
    </xf>
    <xf numFmtId="0" fontId="72" fillId="0" borderId="36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0" borderId="63" xfId="0" applyFont="1" applyBorder="1" applyAlignment="1">
      <alignment horizontal="center" vertical="center" wrapText="1"/>
    </xf>
    <xf numFmtId="1" fontId="72" fillId="0" borderId="15" xfId="0" applyNumberFormat="1" applyFont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2" fontId="72" fillId="0" borderId="37" xfId="0" applyNumberFormat="1" applyFont="1" applyBorder="1" applyAlignment="1">
      <alignment horizontal="center" vertical="center" wrapText="1"/>
    </xf>
    <xf numFmtId="164" fontId="72" fillId="0" borderId="15" xfId="0" applyNumberFormat="1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72" fillId="0" borderId="73" xfId="0" applyFont="1" applyFill="1" applyBorder="1" applyAlignment="1">
      <alignment horizontal="left" vertical="center" wrapText="1"/>
    </xf>
    <xf numFmtId="0" fontId="72" fillId="0" borderId="42" xfId="0" applyFont="1" applyFill="1" applyBorder="1" applyAlignment="1">
      <alignment horizontal="left" vertical="center" wrapText="1"/>
    </xf>
    <xf numFmtId="164" fontId="72" fillId="0" borderId="13" xfId="0" applyNumberFormat="1" applyFont="1" applyFill="1" applyBorder="1" applyAlignment="1">
      <alignment horizontal="center" vertical="center" wrapText="1"/>
    </xf>
    <xf numFmtId="164" fontId="72" fillId="0" borderId="36" xfId="0" applyNumberFormat="1" applyFont="1" applyBorder="1" applyAlignment="1">
      <alignment horizontal="center" vertical="center"/>
    </xf>
    <xf numFmtId="164" fontId="72" fillId="0" borderId="37" xfId="0" applyNumberFormat="1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2" fillId="0" borderId="29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83" fillId="0" borderId="14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0" fontId="72" fillId="0" borderId="34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wrapText="1"/>
    </xf>
    <xf numFmtId="0" fontId="72" fillId="0" borderId="70" xfId="0" applyFont="1" applyBorder="1" applyAlignment="1">
      <alignment horizontal="center" wrapText="1"/>
    </xf>
    <xf numFmtId="0" fontId="72" fillId="0" borderId="71" xfId="0" applyFont="1" applyBorder="1" applyAlignment="1">
      <alignment horizontal="center" wrapText="1"/>
    </xf>
    <xf numFmtId="0" fontId="72" fillId="0" borderId="38" xfId="0" applyFont="1" applyBorder="1" applyAlignment="1">
      <alignment horizontal="left" vertical="center" wrapText="1"/>
    </xf>
    <xf numFmtId="0" fontId="72" fillId="0" borderId="73" xfId="0" applyFont="1" applyBorder="1" applyAlignment="1" applyProtection="1">
      <alignment horizontal="left" vertical="center" shrinkToFit="1"/>
      <protection/>
    </xf>
    <xf numFmtId="0" fontId="72" fillId="0" borderId="72" xfId="0" applyFont="1" applyBorder="1" applyAlignment="1" applyProtection="1">
      <alignment horizontal="left" vertical="center" shrinkToFit="1"/>
      <protection/>
    </xf>
    <xf numFmtId="0" fontId="72" fillId="0" borderId="42" xfId="0" applyFont="1" applyBorder="1" applyAlignment="1" applyProtection="1">
      <alignment horizontal="left" vertical="center" shrinkToFit="1"/>
      <protection/>
    </xf>
    <xf numFmtId="0" fontId="72" fillId="0" borderId="53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2" fontId="72" fillId="0" borderId="54" xfId="0" applyNumberFormat="1" applyFont="1" applyBorder="1" applyAlignment="1">
      <alignment horizontal="center" vertical="center" wrapText="1"/>
    </xf>
    <xf numFmtId="2" fontId="72" fillId="0" borderId="18" xfId="0" applyNumberFormat="1" applyFont="1" applyBorder="1" applyAlignment="1">
      <alignment horizontal="center" vertical="center" wrapText="1"/>
    </xf>
    <xf numFmtId="2" fontId="72" fillId="0" borderId="41" xfId="0" applyNumberFormat="1" applyFont="1" applyBorder="1" applyAlignment="1">
      <alignment horizontal="center" vertical="center" wrapText="1"/>
    </xf>
    <xf numFmtId="2" fontId="72" fillId="0" borderId="65" xfId="0" applyNumberFormat="1" applyFont="1" applyBorder="1" applyAlignment="1">
      <alignment horizontal="center" vertical="center" wrapText="1"/>
    </xf>
    <xf numFmtId="1" fontId="72" fillId="34" borderId="29" xfId="0" applyNumberFormat="1" applyFont="1" applyFill="1" applyBorder="1" applyAlignment="1" applyProtection="1">
      <alignment horizontal="center" vertical="center" shrinkToFit="1"/>
      <protection/>
    </xf>
    <xf numFmtId="1" fontId="72" fillId="34" borderId="31" xfId="0" applyNumberFormat="1" applyFont="1" applyFill="1" applyBorder="1" applyAlignment="1" applyProtection="1">
      <alignment horizontal="center" vertical="center" shrinkToFit="1"/>
      <protection/>
    </xf>
    <xf numFmtId="1" fontId="72" fillId="34" borderId="28" xfId="0" applyNumberFormat="1" applyFont="1" applyFill="1" applyBorder="1" applyAlignment="1" applyProtection="1">
      <alignment horizontal="center" vertical="center" shrinkToFit="1"/>
      <protection/>
    </xf>
    <xf numFmtId="2" fontId="72" fillId="34" borderId="45" xfId="0" applyNumberFormat="1" applyFont="1" applyFill="1" applyBorder="1" applyAlignment="1" applyProtection="1">
      <alignment horizontal="center" vertical="center" shrinkToFit="1"/>
      <protection/>
    </xf>
    <xf numFmtId="0" fontId="5" fillId="0" borderId="5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75" fillId="0" borderId="69" xfId="0" applyFont="1" applyBorder="1" applyAlignment="1" applyProtection="1">
      <alignment horizontal="left" vertical="center"/>
      <protection/>
    </xf>
    <xf numFmtId="0" fontId="75" fillId="0" borderId="70" xfId="0" applyFont="1" applyBorder="1" applyAlignment="1" applyProtection="1">
      <alignment horizontal="left" vertical="center"/>
      <protection/>
    </xf>
    <xf numFmtId="0" fontId="75" fillId="0" borderId="71" xfId="0" applyFont="1" applyBorder="1" applyAlignment="1" applyProtection="1">
      <alignment horizontal="left" vertical="center"/>
      <protection/>
    </xf>
    <xf numFmtId="2" fontId="72" fillId="0" borderId="29" xfId="0" applyNumberFormat="1" applyFont="1" applyBorder="1" applyAlignment="1">
      <alignment horizontal="center" vertical="center" wrapText="1"/>
    </xf>
    <xf numFmtId="2" fontId="72" fillId="0" borderId="31" xfId="0" applyNumberFormat="1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2" fontId="83" fillId="0" borderId="66" xfId="0" applyNumberFormat="1" applyFont="1" applyFill="1" applyBorder="1" applyAlignment="1">
      <alignment horizontal="center" vertical="center" wrapText="1"/>
    </xf>
    <xf numFmtId="2" fontId="72" fillId="0" borderId="26" xfId="0" applyNumberFormat="1" applyFont="1" applyFill="1" applyBorder="1" applyAlignment="1">
      <alignment horizontal="center" vertical="center" wrapText="1"/>
    </xf>
    <xf numFmtId="2" fontId="72" fillId="0" borderId="49" xfId="0" applyNumberFormat="1" applyFont="1" applyFill="1" applyBorder="1" applyAlignment="1">
      <alignment horizontal="center" vertical="center" wrapText="1"/>
    </xf>
    <xf numFmtId="2" fontId="72" fillId="0" borderId="50" xfId="0" applyNumberFormat="1" applyFont="1" applyFill="1" applyBorder="1" applyAlignment="1">
      <alignment horizontal="center" vertical="center" wrapText="1"/>
    </xf>
    <xf numFmtId="2" fontId="72" fillId="0" borderId="41" xfId="0" applyNumberFormat="1" applyFont="1" applyFill="1" applyBorder="1" applyAlignment="1">
      <alignment horizontal="center" vertical="center" wrapText="1"/>
    </xf>
    <xf numFmtId="2" fontId="72" fillId="0" borderId="33" xfId="0" applyNumberFormat="1" applyFont="1" applyFill="1" applyBorder="1" applyAlignment="1">
      <alignment horizontal="center" vertical="center" wrapText="1"/>
    </xf>
    <xf numFmtId="1" fontId="72" fillId="34" borderId="36" xfId="0" applyNumberFormat="1" applyFont="1" applyFill="1" applyBorder="1" applyAlignment="1" applyProtection="1">
      <alignment horizontal="center" vertical="center" shrinkToFit="1"/>
      <protection/>
    </xf>
    <xf numFmtId="1" fontId="72" fillId="34" borderId="37" xfId="0" applyNumberFormat="1" applyFont="1" applyFill="1" applyBorder="1" applyAlignment="1" applyProtection="1">
      <alignment horizontal="center" vertical="center" shrinkToFit="1"/>
      <protection/>
    </xf>
    <xf numFmtId="0" fontId="72" fillId="0" borderId="53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27" xfId="0" applyFont="1" applyBorder="1" applyAlignment="1" applyProtection="1">
      <alignment horizontal="left" vertical="center" shrinkToFit="1"/>
      <protection/>
    </xf>
    <xf numFmtId="0" fontId="72" fillId="0" borderId="30" xfId="0" applyFont="1" applyBorder="1" applyAlignment="1" applyProtection="1">
      <alignment horizontal="left" vertical="center" shrinkToFit="1"/>
      <protection/>
    </xf>
    <xf numFmtId="0" fontId="72" fillId="0" borderId="28" xfId="0" applyFont="1" applyBorder="1" applyAlignment="1" applyProtection="1">
      <alignment horizontal="left" vertical="center" shrinkToFit="1"/>
      <protection/>
    </xf>
    <xf numFmtId="0" fontId="72" fillId="0" borderId="6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 wrapText="1"/>
    </xf>
    <xf numFmtId="2" fontId="72" fillId="0" borderId="66" xfId="0" applyNumberFormat="1" applyFont="1" applyBorder="1" applyAlignment="1">
      <alignment horizontal="center" vertical="center"/>
    </xf>
    <xf numFmtId="2" fontId="72" fillId="0" borderId="26" xfId="0" applyNumberFormat="1" applyFont="1" applyBorder="1" applyAlignment="1">
      <alignment horizontal="center" vertical="center"/>
    </xf>
    <xf numFmtId="2" fontId="72" fillId="0" borderId="49" xfId="0" applyNumberFormat="1" applyFont="1" applyBorder="1" applyAlignment="1">
      <alignment horizontal="center" vertical="center"/>
    </xf>
    <xf numFmtId="2" fontId="72" fillId="0" borderId="50" xfId="0" applyNumberFormat="1" applyFont="1" applyBorder="1" applyAlignment="1">
      <alignment horizontal="center" vertical="center"/>
    </xf>
    <xf numFmtId="2" fontId="72" fillId="0" borderId="41" xfId="0" applyNumberFormat="1" applyFont="1" applyBorder="1" applyAlignment="1">
      <alignment horizontal="center" vertical="center"/>
    </xf>
    <xf numFmtId="2" fontId="72" fillId="0" borderId="33" xfId="0" applyNumberFormat="1" applyFont="1" applyBorder="1" applyAlignment="1">
      <alignment horizontal="center" vertical="center"/>
    </xf>
    <xf numFmtId="1" fontId="72" fillId="34" borderId="45" xfId="0" applyNumberFormat="1" applyFont="1" applyFill="1" applyBorder="1" applyAlignment="1" applyProtection="1">
      <alignment horizontal="center" vertical="center" shrinkToFit="1"/>
      <protection/>
    </xf>
    <xf numFmtId="164" fontId="5" fillId="0" borderId="6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164" fontId="72" fillId="33" borderId="15" xfId="0" applyNumberFormat="1" applyFont="1" applyFill="1" applyBorder="1" applyAlignment="1">
      <alignment horizontal="center" vertical="center" wrapText="1"/>
    </xf>
    <xf numFmtId="2" fontId="72" fillId="33" borderId="15" xfId="0" applyNumberFormat="1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/>
    </xf>
    <xf numFmtId="2" fontId="72" fillId="0" borderId="49" xfId="0" applyNumberFormat="1" applyFont="1" applyBorder="1" applyAlignment="1">
      <alignment horizontal="center" vertical="center" wrapText="1"/>
    </xf>
    <xf numFmtId="2" fontId="72" fillId="0" borderId="64" xfId="0" applyNumberFormat="1" applyFont="1" applyBorder="1" applyAlignment="1">
      <alignment horizontal="center" vertical="center" wrapText="1"/>
    </xf>
    <xf numFmtId="2" fontId="72" fillId="0" borderId="66" xfId="0" applyNumberFormat="1" applyFont="1" applyBorder="1" applyAlignment="1">
      <alignment horizontal="center" vertical="center" wrapText="1"/>
    </xf>
    <xf numFmtId="2" fontId="72" fillId="0" borderId="67" xfId="0" applyNumberFormat="1" applyFont="1" applyBorder="1" applyAlignment="1">
      <alignment horizontal="center" vertical="center" wrapText="1"/>
    </xf>
    <xf numFmtId="2" fontId="72" fillId="0" borderId="68" xfId="0" applyNumberFormat="1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2" fontId="72" fillId="0" borderId="15" xfId="0" applyNumberFormat="1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43" xfId="0" applyFont="1" applyBorder="1" applyAlignment="1">
      <alignment horizontal="center" wrapText="1" readingOrder="1"/>
    </xf>
    <xf numFmtId="0" fontId="11" fillId="0" borderId="44" xfId="0" applyFont="1" applyBorder="1" applyAlignment="1">
      <alignment horizontal="center" wrapText="1" readingOrder="1"/>
    </xf>
    <xf numFmtId="0" fontId="12" fillId="0" borderId="44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3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jpe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2</xdr:col>
      <xdr:colOff>504825</xdr:colOff>
      <xdr:row>0</xdr:row>
      <xdr:rowOff>990600</xdr:rowOff>
    </xdr:to>
    <xdr:pic>
      <xdr:nvPicPr>
        <xdr:cNvPr id="1" name="Рисунок 9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2105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</xdr:row>
      <xdr:rowOff>9525</xdr:rowOff>
    </xdr:from>
    <xdr:to>
      <xdr:col>6</xdr:col>
      <xdr:colOff>152400</xdr:colOff>
      <xdr:row>1</xdr:row>
      <xdr:rowOff>466725</xdr:rowOff>
    </xdr:to>
    <xdr:pic>
      <xdr:nvPicPr>
        <xdr:cNvPr id="2" name="Рисунок 10" descr="европрофиль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95575" y="2181225"/>
          <a:ext cx="2066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28</xdr:row>
      <xdr:rowOff>85725</xdr:rowOff>
    </xdr:from>
    <xdr:to>
      <xdr:col>7</xdr:col>
      <xdr:colOff>638175</xdr:colOff>
      <xdr:row>28</xdr:row>
      <xdr:rowOff>495300</xdr:rowOff>
    </xdr:to>
    <xdr:pic>
      <xdr:nvPicPr>
        <xdr:cNvPr id="3" name="Рисунок 11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88868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37</xdr:row>
      <xdr:rowOff>209550</xdr:rowOff>
    </xdr:from>
    <xdr:to>
      <xdr:col>3</xdr:col>
      <xdr:colOff>419100</xdr:colOff>
      <xdr:row>37</xdr:row>
      <xdr:rowOff>609600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11239500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37</xdr:row>
      <xdr:rowOff>133350</xdr:rowOff>
    </xdr:from>
    <xdr:to>
      <xdr:col>6</xdr:col>
      <xdr:colOff>19050</xdr:colOff>
      <xdr:row>37</xdr:row>
      <xdr:rowOff>638175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111633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37</xdr:row>
      <xdr:rowOff>133350</xdr:rowOff>
    </xdr:from>
    <xdr:to>
      <xdr:col>4</xdr:col>
      <xdr:colOff>495300</xdr:colOff>
      <xdr:row>37</xdr:row>
      <xdr:rowOff>647700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111633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37</xdr:row>
      <xdr:rowOff>123825</xdr:rowOff>
    </xdr:from>
    <xdr:to>
      <xdr:col>6</xdr:col>
      <xdr:colOff>666750</xdr:colOff>
      <xdr:row>37</xdr:row>
      <xdr:rowOff>123825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52950" y="1115377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37</xdr:row>
      <xdr:rowOff>161925</xdr:rowOff>
    </xdr:from>
    <xdr:to>
      <xdr:col>8</xdr:col>
      <xdr:colOff>209550</xdr:colOff>
      <xdr:row>37</xdr:row>
      <xdr:rowOff>161925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11191875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</xdr:row>
      <xdr:rowOff>180975</xdr:rowOff>
    </xdr:from>
    <xdr:to>
      <xdr:col>9</xdr:col>
      <xdr:colOff>66675</xdr:colOff>
      <xdr:row>2</xdr:row>
      <xdr:rowOff>600075</xdr:rowOff>
    </xdr:to>
    <xdr:pic>
      <xdr:nvPicPr>
        <xdr:cNvPr id="9" name="Рисунок 17" descr="софтлайн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24375" y="3000375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61</xdr:row>
      <xdr:rowOff>47625</xdr:rowOff>
    </xdr:from>
    <xdr:to>
      <xdr:col>8</xdr:col>
      <xdr:colOff>314325</xdr:colOff>
      <xdr:row>61</xdr:row>
      <xdr:rowOff>419100</xdr:rowOff>
    </xdr:to>
    <xdr:pic>
      <xdr:nvPicPr>
        <xdr:cNvPr id="10" name="Рисунок 20" descr="бревно-чертеж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1592580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78</xdr:row>
      <xdr:rowOff>76200</xdr:rowOff>
    </xdr:from>
    <xdr:to>
      <xdr:col>8</xdr:col>
      <xdr:colOff>257175</xdr:colOff>
      <xdr:row>78</xdr:row>
      <xdr:rowOff>495300</xdr:rowOff>
    </xdr:to>
    <xdr:pic>
      <xdr:nvPicPr>
        <xdr:cNvPr id="11" name="Рисунок 21" descr="брус-чертеж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1942147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84</xdr:row>
      <xdr:rowOff>66675</xdr:rowOff>
    </xdr:from>
    <xdr:to>
      <xdr:col>8</xdr:col>
      <xdr:colOff>238125</xdr:colOff>
      <xdr:row>84</xdr:row>
      <xdr:rowOff>485775</xdr:rowOff>
    </xdr:to>
    <xdr:pic>
      <xdr:nvPicPr>
        <xdr:cNvPr id="12" name="Рисунок 2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208311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167</xdr:row>
      <xdr:rowOff>0</xdr:rowOff>
    </xdr:from>
    <xdr:to>
      <xdr:col>5</xdr:col>
      <xdr:colOff>38100</xdr:colOff>
      <xdr:row>167</xdr:row>
      <xdr:rowOff>0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367665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190</xdr:row>
      <xdr:rowOff>66675</xdr:rowOff>
    </xdr:from>
    <xdr:to>
      <xdr:col>7</xdr:col>
      <xdr:colOff>552450</xdr:colOff>
      <xdr:row>190</xdr:row>
      <xdr:rowOff>447675</xdr:rowOff>
    </xdr:to>
    <xdr:pic>
      <xdr:nvPicPr>
        <xdr:cNvPr id="14" name="Рисунок 27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416052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168</xdr:row>
      <xdr:rowOff>57150</xdr:rowOff>
    </xdr:from>
    <xdr:to>
      <xdr:col>7</xdr:col>
      <xdr:colOff>400050</xdr:colOff>
      <xdr:row>168</xdr:row>
      <xdr:rowOff>390525</xdr:rowOff>
    </xdr:to>
    <xdr:pic>
      <xdr:nvPicPr>
        <xdr:cNvPr id="15" name="Рисунок 29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3702367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37</xdr:row>
      <xdr:rowOff>228600</xdr:rowOff>
    </xdr:from>
    <xdr:to>
      <xdr:col>7</xdr:col>
      <xdr:colOff>28575</xdr:colOff>
      <xdr:row>37</xdr:row>
      <xdr:rowOff>552450</xdr:rowOff>
    </xdr:to>
    <xdr:pic>
      <xdr:nvPicPr>
        <xdr:cNvPr id="16" name="Рисунок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0100" y="112585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37</xdr:row>
      <xdr:rowOff>123825</xdr:rowOff>
    </xdr:from>
    <xdr:to>
      <xdr:col>7</xdr:col>
      <xdr:colOff>666750</xdr:colOff>
      <xdr:row>37</xdr:row>
      <xdr:rowOff>561975</xdr:rowOff>
    </xdr:to>
    <xdr:pic>
      <xdr:nvPicPr>
        <xdr:cNvPr id="17" name="Рисунок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62575" y="1115377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105</xdr:row>
      <xdr:rowOff>142875</xdr:rowOff>
    </xdr:from>
    <xdr:to>
      <xdr:col>9</xdr:col>
      <xdr:colOff>514350</xdr:colOff>
      <xdr:row>105</xdr:row>
      <xdr:rowOff>504825</xdr:rowOff>
    </xdr:to>
    <xdr:pic>
      <xdr:nvPicPr>
        <xdr:cNvPr id="18" name="Рисунок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38925" y="250888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167</xdr:row>
      <xdr:rowOff>0</xdr:rowOff>
    </xdr:from>
    <xdr:to>
      <xdr:col>5</xdr:col>
      <xdr:colOff>38100</xdr:colOff>
      <xdr:row>167</xdr:row>
      <xdr:rowOff>0</xdr:rowOff>
    </xdr:to>
    <xdr:pic>
      <xdr:nvPicPr>
        <xdr:cNvPr id="19" name="Рисунок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367665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15</xdr:row>
      <xdr:rowOff>85725</xdr:rowOff>
    </xdr:from>
    <xdr:to>
      <xdr:col>8</xdr:col>
      <xdr:colOff>304800</xdr:colOff>
      <xdr:row>15</xdr:row>
      <xdr:rowOff>295275</xdr:rowOff>
    </xdr:to>
    <xdr:pic>
      <xdr:nvPicPr>
        <xdr:cNvPr id="20" name="Рисунок 28" descr="Софт-Лай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0" y="6229350"/>
          <a:ext cx="1562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167</xdr:row>
      <xdr:rowOff>0</xdr:rowOff>
    </xdr:from>
    <xdr:to>
      <xdr:col>5</xdr:col>
      <xdr:colOff>38100</xdr:colOff>
      <xdr:row>167</xdr:row>
      <xdr:rowOff>0</xdr:rowOff>
    </xdr:to>
    <xdr:pic>
      <xdr:nvPicPr>
        <xdr:cNvPr id="21" name="Рисунок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367665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105</xdr:row>
      <xdr:rowOff>123825</xdr:rowOff>
    </xdr:from>
    <xdr:to>
      <xdr:col>7</xdr:col>
      <xdr:colOff>28575</xdr:colOff>
      <xdr:row>105</xdr:row>
      <xdr:rowOff>485775</xdr:rowOff>
    </xdr:to>
    <xdr:pic>
      <xdr:nvPicPr>
        <xdr:cNvPr id="22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5069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105</xdr:row>
      <xdr:rowOff>142875</xdr:rowOff>
    </xdr:from>
    <xdr:to>
      <xdr:col>4</xdr:col>
      <xdr:colOff>723900</xdr:colOff>
      <xdr:row>105</xdr:row>
      <xdr:rowOff>142875</xdr:rowOff>
    </xdr:to>
    <xdr:pic>
      <xdr:nvPicPr>
        <xdr:cNvPr id="23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50888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105</xdr:row>
      <xdr:rowOff>123825</xdr:rowOff>
    </xdr:from>
    <xdr:to>
      <xdr:col>8</xdr:col>
      <xdr:colOff>142875</xdr:colOff>
      <xdr:row>105</xdr:row>
      <xdr:rowOff>466725</xdr:rowOff>
    </xdr:to>
    <xdr:pic>
      <xdr:nvPicPr>
        <xdr:cNvPr id="24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57825" y="250698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105</xdr:row>
      <xdr:rowOff>200025</xdr:rowOff>
    </xdr:from>
    <xdr:to>
      <xdr:col>6</xdr:col>
      <xdr:colOff>323850</xdr:colOff>
      <xdr:row>105</xdr:row>
      <xdr:rowOff>200025</xdr:rowOff>
    </xdr:to>
    <xdr:pic>
      <xdr:nvPicPr>
        <xdr:cNvPr id="25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91000" y="251460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148</xdr:row>
      <xdr:rowOff>0</xdr:rowOff>
    </xdr:from>
    <xdr:to>
      <xdr:col>4</xdr:col>
      <xdr:colOff>723900</xdr:colOff>
      <xdr:row>148</xdr:row>
      <xdr:rowOff>0</xdr:rowOff>
    </xdr:to>
    <xdr:pic>
      <xdr:nvPicPr>
        <xdr:cNvPr id="26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331755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152</xdr:row>
      <xdr:rowOff>0</xdr:rowOff>
    </xdr:from>
    <xdr:to>
      <xdr:col>4</xdr:col>
      <xdr:colOff>723900</xdr:colOff>
      <xdr:row>152</xdr:row>
      <xdr:rowOff>0</xdr:rowOff>
    </xdr:to>
    <xdr:pic>
      <xdr:nvPicPr>
        <xdr:cNvPr id="27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338994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321</xdr:row>
      <xdr:rowOff>76200</xdr:rowOff>
    </xdr:from>
    <xdr:to>
      <xdr:col>7</xdr:col>
      <xdr:colOff>419100</xdr:colOff>
      <xdr:row>321</xdr:row>
      <xdr:rowOff>295275</xdr:rowOff>
    </xdr:to>
    <xdr:pic>
      <xdr:nvPicPr>
        <xdr:cNvPr id="28" name="Рисунок 18"/>
        <xdr:cNvPicPr preferRelativeResize="1">
          <a:picLocks noChangeAspect="1"/>
        </xdr:cNvPicPr>
      </xdr:nvPicPr>
      <xdr:blipFill>
        <a:blip r:embed="rId18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819650" y="6842760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320</xdr:row>
      <xdr:rowOff>0</xdr:rowOff>
    </xdr:from>
    <xdr:to>
      <xdr:col>6</xdr:col>
      <xdr:colOff>514350</xdr:colOff>
      <xdr:row>320</xdr:row>
      <xdr:rowOff>0</xdr:rowOff>
    </xdr:to>
    <xdr:pic>
      <xdr:nvPicPr>
        <xdr:cNvPr id="29" name="Рисунок 32" descr="Безымян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24275" y="6815137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277</xdr:row>
      <xdr:rowOff>85725</xdr:rowOff>
    </xdr:from>
    <xdr:to>
      <xdr:col>8</xdr:col>
      <xdr:colOff>28575</xdr:colOff>
      <xdr:row>277</xdr:row>
      <xdr:rowOff>85725</xdr:rowOff>
    </xdr:to>
    <xdr:pic>
      <xdr:nvPicPr>
        <xdr:cNvPr id="30" name="Рисунок 32" descr="Безымян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57725" y="58245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289</xdr:row>
      <xdr:rowOff>85725</xdr:rowOff>
    </xdr:from>
    <xdr:to>
      <xdr:col>7</xdr:col>
      <xdr:colOff>676275</xdr:colOff>
      <xdr:row>289</xdr:row>
      <xdr:rowOff>371475</xdr:rowOff>
    </xdr:to>
    <xdr:pic>
      <xdr:nvPicPr>
        <xdr:cNvPr id="31" name="Рисунок 2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52950" y="60931425"/>
          <a:ext cx="1485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308</xdr:row>
      <xdr:rowOff>104775</xdr:rowOff>
    </xdr:from>
    <xdr:to>
      <xdr:col>7</xdr:col>
      <xdr:colOff>638175</xdr:colOff>
      <xdr:row>308</xdr:row>
      <xdr:rowOff>314325</xdr:rowOff>
    </xdr:to>
    <xdr:pic>
      <xdr:nvPicPr>
        <xdr:cNvPr id="32" name="Рисунок 18"/>
        <xdr:cNvPicPr preferRelativeResize="1">
          <a:picLocks noChangeAspect="1"/>
        </xdr:cNvPicPr>
      </xdr:nvPicPr>
      <xdr:blipFill>
        <a:blip r:embed="rId18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505325" y="65512950"/>
          <a:ext cx="1495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269</xdr:row>
      <xdr:rowOff>66675</xdr:rowOff>
    </xdr:from>
    <xdr:to>
      <xdr:col>8</xdr:col>
      <xdr:colOff>247650</xdr:colOff>
      <xdr:row>269</xdr:row>
      <xdr:rowOff>390525</xdr:rowOff>
    </xdr:to>
    <xdr:pic>
      <xdr:nvPicPr>
        <xdr:cNvPr id="33" name="Рисунок 2" descr="европрофиль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05325" y="56464200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327</xdr:row>
      <xdr:rowOff>85725</xdr:rowOff>
    </xdr:from>
    <xdr:to>
      <xdr:col>8</xdr:col>
      <xdr:colOff>28575</xdr:colOff>
      <xdr:row>327</xdr:row>
      <xdr:rowOff>304800</xdr:rowOff>
    </xdr:to>
    <xdr:pic>
      <xdr:nvPicPr>
        <xdr:cNvPr id="34" name="Рисунок 32" descr="Безымян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57725" y="69770625"/>
          <a:ext cx="1485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277</xdr:row>
      <xdr:rowOff>38100</xdr:rowOff>
    </xdr:from>
    <xdr:to>
      <xdr:col>7</xdr:col>
      <xdr:colOff>742950</xdr:colOff>
      <xdr:row>277</xdr:row>
      <xdr:rowOff>257175</xdr:rowOff>
    </xdr:to>
    <xdr:pic>
      <xdr:nvPicPr>
        <xdr:cNvPr id="35" name="Рисунок 32" descr="Безымянный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19625" y="58197750"/>
          <a:ext cx="1485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301</xdr:row>
      <xdr:rowOff>85725</xdr:rowOff>
    </xdr:from>
    <xdr:to>
      <xdr:col>7</xdr:col>
      <xdr:colOff>647700</xdr:colOff>
      <xdr:row>301</xdr:row>
      <xdr:rowOff>504825</xdr:rowOff>
    </xdr:to>
    <xdr:pic>
      <xdr:nvPicPr>
        <xdr:cNvPr id="36" name="Рисунок 21" descr="брус-чертеж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33900" y="6380797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23</xdr:row>
      <xdr:rowOff>85725</xdr:rowOff>
    </xdr:from>
    <xdr:to>
      <xdr:col>8</xdr:col>
      <xdr:colOff>304800</xdr:colOff>
      <xdr:row>23</xdr:row>
      <xdr:rowOff>295275</xdr:rowOff>
    </xdr:to>
    <xdr:pic>
      <xdr:nvPicPr>
        <xdr:cNvPr id="37" name="Рисунок 28" descr="Софт-Лай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0" y="7886700"/>
          <a:ext cx="1562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33</xdr:row>
      <xdr:rowOff>85725</xdr:rowOff>
    </xdr:from>
    <xdr:to>
      <xdr:col>7</xdr:col>
      <xdr:colOff>638175</xdr:colOff>
      <xdr:row>33</xdr:row>
      <xdr:rowOff>495300</xdr:rowOff>
    </xdr:to>
    <xdr:pic>
      <xdr:nvPicPr>
        <xdr:cNvPr id="38" name="Рисунок 11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10115550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38100</xdr:rowOff>
    </xdr:from>
    <xdr:to>
      <xdr:col>2</xdr:col>
      <xdr:colOff>1143000</xdr:colOff>
      <xdr:row>0</xdr:row>
      <xdr:rowOff>838200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56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533"/>
  <sheetViews>
    <sheetView tabSelected="1" zoomScale="75" zoomScaleNormal="75" zoomScalePageLayoutView="0" workbookViewId="0" topLeftCell="A1">
      <selection activeCell="N1" sqref="N1"/>
    </sheetView>
  </sheetViews>
  <sheetFormatPr defaultColWidth="9.140625" defaultRowHeight="15"/>
  <cols>
    <col min="1" max="1" width="1.57421875" style="0" customWidth="1"/>
    <col min="2" max="2" width="24.8515625" style="0" customWidth="1"/>
    <col min="3" max="3" width="8.421875" style="0" customWidth="1"/>
    <col min="4" max="4" width="11.7109375" style="0" customWidth="1"/>
    <col min="5" max="8" width="11.28125" style="0" customWidth="1"/>
    <col min="9" max="10" width="11.421875" style="0" customWidth="1"/>
    <col min="11" max="13" width="11.28125" style="0" customWidth="1"/>
  </cols>
  <sheetData>
    <row r="1" spans="2:14" ht="171" customHeight="1" thickBot="1">
      <c r="B1" s="603" t="s">
        <v>534</v>
      </c>
      <c r="C1" s="604"/>
      <c r="D1" s="708" t="s">
        <v>506</v>
      </c>
      <c r="E1" s="709"/>
      <c r="F1" s="709"/>
      <c r="G1" s="709"/>
      <c r="H1" s="709"/>
      <c r="I1" s="709"/>
      <c r="J1" s="705" t="s">
        <v>419</v>
      </c>
      <c r="K1" s="706"/>
      <c r="L1" s="706"/>
      <c r="M1" s="707"/>
      <c r="N1" s="73"/>
    </row>
    <row r="2" spans="2:13" ht="51" customHeight="1" thickBot="1">
      <c r="B2" s="3"/>
      <c r="C2" s="46"/>
      <c r="D2" s="47"/>
      <c r="E2" s="48"/>
      <c r="F2" s="48"/>
      <c r="G2" s="48"/>
      <c r="H2" s="48"/>
      <c r="I2" s="48"/>
      <c r="J2" s="48"/>
      <c r="K2" s="48"/>
      <c r="L2" s="48"/>
      <c r="M2" s="49"/>
    </row>
    <row r="3" spans="2:13" ht="58.5" customHeight="1">
      <c r="B3" s="446" t="s">
        <v>135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8"/>
    </row>
    <row r="4" spans="2:13" ht="26.25" customHeight="1">
      <c r="B4" s="610" t="s">
        <v>113</v>
      </c>
      <c r="C4" s="579" t="s">
        <v>341</v>
      </c>
      <c r="D4" s="579" t="s">
        <v>342</v>
      </c>
      <c r="E4" s="601" t="s">
        <v>110</v>
      </c>
      <c r="F4" s="601"/>
      <c r="G4" s="601"/>
      <c r="H4" s="601" t="s">
        <v>111</v>
      </c>
      <c r="I4" s="601"/>
      <c r="J4" s="601"/>
      <c r="K4" s="601" t="s">
        <v>112</v>
      </c>
      <c r="L4" s="601"/>
      <c r="M4" s="609"/>
    </row>
    <row r="5" spans="2:13" ht="24.75" customHeight="1">
      <c r="B5" s="610"/>
      <c r="C5" s="579"/>
      <c r="D5" s="579"/>
      <c r="E5" s="67" t="s">
        <v>219</v>
      </c>
      <c r="F5" s="94" t="s">
        <v>343</v>
      </c>
      <c r="G5" s="67" t="s">
        <v>0</v>
      </c>
      <c r="H5" s="67" t="s">
        <v>219</v>
      </c>
      <c r="I5" s="94" t="s">
        <v>343</v>
      </c>
      <c r="J5" s="67" t="s">
        <v>0</v>
      </c>
      <c r="K5" s="67" t="s">
        <v>219</v>
      </c>
      <c r="L5" s="94" t="s">
        <v>344</v>
      </c>
      <c r="M5" s="17" t="s">
        <v>0</v>
      </c>
    </row>
    <row r="6" spans="2:13" ht="16.5" customHeight="1">
      <c r="B6" s="18" t="s">
        <v>114</v>
      </c>
      <c r="C6" s="19">
        <v>10</v>
      </c>
      <c r="D6" s="95">
        <v>1.76</v>
      </c>
      <c r="E6" s="20">
        <v>16700</v>
      </c>
      <c r="F6" s="21">
        <f aca="true" t="shared" si="0" ref="F6:F14">E6*0.0125*96/88</f>
        <v>227.72727272727272</v>
      </c>
      <c r="G6" s="21">
        <f>0.0125*0.096*10*2*E6</f>
        <v>400.8</v>
      </c>
      <c r="H6" s="22">
        <v>13500</v>
      </c>
      <c r="I6" s="21">
        <f aca="true" t="shared" si="1" ref="I6:I13">H6*0.0125*96/88</f>
        <v>184.0909090909091</v>
      </c>
      <c r="J6" s="21">
        <f>0.0125*0.096*10*2*H6</f>
        <v>324</v>
      </c>
      <c r="K6" s="22">
        <v>8500</v>
      </c>
      <c r="L6" s="21">
        <f aca="true" t="shared" si="2" ref="L6:L13">K6*0.0125*96/88</f>
        <v>115.9090909090909</v>
      </c>
      <c r="M6" s="100">
        <f>0.0125*0.096*10*2*K6</f>
        <v>204</v>
      </c>
    </row>
    <row r="7" spans="2:13" ht="16.5" customHeight="1">
      <c r="B7" s="18" t="s">
        <v>115</v>
      </c>
      <c r="C7" s="19">
        <v>10</v>
      </c>
      <c r="D7" s="95">
        <v>1.848</v>
      </c>
      <c r="E7" s="20">
        <v>16700</v>
      </c>
      <c r="F7" s="21">
        <f t="shared" si="0"/>
        <v>227.72727272727272</v>
      </c>
      <c r="G7" s="21">
        <f>0.0125*0.096*10*2.1*E7</f>
        <v>420.84</v>
      </c>
      <c r="H7" s="22">
        <v>13500</v>
      </c>
      <c r="I7" s="21">
        <f t="shared" si="1"/>
        <v>184.0909090909091</v>
      </c>
      <c r="J7" s="21">
        <f>0.0125*0.096*10*2.1*H7</f>
        <v>340.2</v>
      </c>
      <c r="K7" s="22">
        <v>8500</v>
      </c>
      <c r="L7" s="21">
        <f t="shared" si="2"/>
        <v>115.9090909090909</v>
      </c>
      <c r="M7" s="100">
        <f>0.0125*0.096*10*2.1*K7</f>
        <v>214.2</v>
      </c>
    </row>
    <row r="8" spans="2:13" ht="16.5" customHeight="1">
      <c r="B8" s="18" t="s">
        <v>116</v>
      </c>
      <c r="C8" s="19">
        <v>10</v>
      </c>
      <c r="D8" s="95">
        <v>2.112</v>
      </c>
      <c r="E8" s="20">
        <v>17000</v>
      </c>
      <c r="F8" s="21">
        <f t="shared" si="0"/>
        <v>231.8181818181818</v>
      </c>
      <c r="G8" s="21">
        <f>0.0125*0.096*10*2.4*E8</f>
        <v>489.59999999999997</v>
      </c>
      <c r="H8" s="22">
        <v>13800</v>
      </c>
      <c r="I8" s="21">
        <f t="shared" si="1"/>
        <v>188.1818181818182</v>
      </c>
      <c r="J8" s="21">
        <f>0.0125*0.096*10*2.4*H8</f>
        <v>397.44</v>
      </c>
      <c r="K8" s="22">
        <v>8500</v>
      </c>
      <c r="L8" s="21">
        <f t="shared" si="2"/>
        <v>115.9090909090909</v>
      </c>
      <c r="M8" s="100">
        <f>0.0125*0.096*10*2.4*K8</f>
        <v>244.79999999999998</v>
      </c>
    </row>
    <row r="9" spans="2:13" ht="16.5" customHeight="1">
      <c r="B9" s="18" t="s">
        <v>117</v>
      </c>
      <c r="C9" s="19">
        <v>10</v>
      </c>
      <c r="D9" s="95">
        <v>2.2</v>
      </c>
      <c r="E9" s="20">
        <v>17000</v>
      </c>
      <c r="F9" s="21">
        <f t="shared" si="0"/>
        <v>231.8181818181818</v>
      </c>
      <c r="G9" s="21">
        <f>0.0125*0.096*10*2.5*E9</f>
        <v>510</v>
      </c>
      <c r="H9" s="22">
        <v>13800</v>
      </c>
      <c r="I9" s="21">
        <f t="shared" si="1"/>
        <v>188.1818181818182</v>
      </c>
      <c r="J9" s="21">
        <f>0.0125*0.096*10*2.5*H9</f>
        <v>414</v>
      </c>
      <c r="K9" s="22">
        <v>8500</v>
      </c>
      <c r="L9" s="21">
        <f t="shared" si="2"/>
        <v>115.9090909090909</v>
      </c>
      <c r="M9" s="100">
        <f>0.0125*0.096*10*2.5*K9</f>
        <v>255</v>
      </c>
    </row>
    <row r="10" spans="2:13" ht="16.5" customHeight="1">
      <c r="B10" s="18" t="s">
        <v>118</v>
      </c>
      <c r="C10" s="19">
        <v>10</v>
      </c>
      <c r="D10" s="95">
        <v>2.376</v>
      </c>
      <c r="E10" s="20">
        <v>16700</v>
      </c>
      <c r="F10" s="21">
        <f t="shared" si="0"/>
        <v>227.72727272727272</v>
      </c>
      <c r="G10" s="21">
        <f>0.0125*0.096*10*2.7*E10</f>
        <v>541.08</v>
      </c>
      <c r="H10" s="22">
        <v>13500</v>
      </c>
      <c r="I10" s="21">
        <f t="shared" si="1"/>
        <v>184.0909090909091</v>
      </c>
      <c r="J10" s="21">
        <f>0.0125*0.096*10*2.7*H10</f>
        <v>437.4000000000001</v>
      </c>
      <c r="K10" s="22">
        <v>8500</v>
      </c>
      <c r="L10" s="21">
        <f t="shared" si="2"/>
        <v>115.9090909090909</v>
      </c>
      <c r="M10" s="100">
        <f>0.0125*0.096*10*2.7*K10</f>
        <v>275.40000000000003</v>
      </c>
    </row>
    <row r="11" spans="2:13" ht="16.5" customHeight="1">
      <c r="B11" s="18" t="s">
        <v>119</v>
      </c>
      <c r="C11" s="19">
        <v>10</v>
      </c>
      <c r="D11" s="95">
        <v>2.64</v>
      </c>
      <c r="E11" s="20">
        <v>16700</v>
      </c>
      <c r="F11" s="21">
        <f t="shared" si="0"/>
        <v>227.72727272727272</v>
      </c>
      <c r="G11" s="21">
        <f>0.0125*0.096*10*3*E11</f>
        <v>601.2</v>
      </c>
      <c r="H11" s="22">
        <v>13500</v>
      </c>
      <c r="I11" s="21">
        <f t="shared" si="1"/>
        <v>184.0909090909091</v>
      </c>
      <c r="J11" s="21">
        <f>0.0125*0.096*10*3*H11</f>
        <v>486.00000000000006</v>
      </c>
      <c r="K11" s="22">
        <v>8500</v>
      </c>
      <c r="L11" s="21">
        <f t="shared" si="2"/>
        <v>115.9090909090909</v>
      </c>
      <c r="M11" s="100">
        <f>0.0125*0.096*10*3*K11</f>
        <v>306.00000000000006</v>
      </c>
    </row>
    <row r="12" spans="2:13" ht="16.5" customHeight="1">
      <c r="B12" s="18" t="s">
        <v>120</v>
      </c>
      <c r="C12" s="19">
        <v>10</v>
      </c>
      <c r="D12" s="95">
        <v>3.168</v>
      </c>
      <c r="E12" s="20">
        <v>16700</v>
      </c>
      <c r="F12" s="21">
        <f t="shared" si="0"/>
        <v>227.72727272727272</v>
      </c>
      <c r="G12" s="21">
        <f>0.0125*0.096*10*3.6*E12</f>
        <v>721.44</v>
      </c>
      <c r="H12" s="22">
        <v>13500</v>
      </c>
      <c r="I12" s="21">
        <f t="shared" si="1"/>
        <v>184.0909090909091</v>
      </c>
      <c r="J12" s="21">
        <f>0.0125*0.096*10*3.6*H12</f>
        <v>583.2</v>
      </c>
      <c r="K12" s="22">
        <v>8500</v>
      </c>
      <c r="L12" s="21">
        <f t="shared" si="2"/>
        <v>115.9090909090909</v>
      </c>
      <c r="M12" s="100">
        <f>0.0125*0.096*10*3.6*K12</f>
        <v>367.20000000000005</v>
      </c>
    </row>
    <row r="13" spans="2:13" ht="16.5" customHeight="1">
      <c r="B13" s="18" t="s">
        <v>121</v>
      </c>
      <c r="C13" s="19">
        <v>10</v>
      </c>
      <c r="D13" s="95">
        <v>3.432</v>
      </c>
      <c r="E13" s="20">
        <v>16700</v>
      </c>
      <c r="F13" s="21">
        <f t="shared" si="0"/>
        <v>227.72727272727272</v>
      </c>
      <c r="G13" s="21">
        <f>0.0125*0.096*10*3.9*E13</f>
        <v>781.5600000000001</v>
      </c>
      <c r="H13" s="22">
        <v>13500</v>
      </c>
      <c r="I13" s="21">
        <f t="shared" si="1"/>
        <v>184.0909090909091</v>
      </c>
      <c r="J13" s="21">
        <f>0.0125*0.096*10*3.9*H13</f>
        <v>631.8000000000001</v>
      </c>
      <c r="K13" s="22">
        <v>8500</v>
      </c>
      <c r="L13" s="21">
        <f t="shared" si="2"/>
        <v>115.9090909090909</v>
      </c>
      <c r="M13" s="100">
        <f>0.0125*0.096*10*3.9*K13</f>
        <v>397.8</v>
      </c>
    </row>
    <row r="14" spans="2:13" ht="16.5" customHeight="1" thickBot="1">
      <c r="B14" s="23" t="s">
        <v>122</v>
      </c>
      <c r="C14" s="24">
        <v>10</v>
      </c>
      <c r="D14" s="96">
        <v>3.52</v>
      </c>
      <c r="E14" s="25">
        <v>16700</v>
      </c>
      <c r="F14" s="26">
        <f t="shared" si="0"/>
        <v>227.72727272727272</v>
      </c>
      <c r="G14" s="26">
        <f>0.0125*0.096*10*4*E14</f>
        <v>801.6</v>
      </c>
      <c r="H14" s="28" t="s">
        <v>1</v>
      </c>
      <c r="I14" s="26" t="s">
        <v>1</v>
      </c>
      <c r="J14" s="27" t="s">
        <v>1</v>
      </c>
      <c r="K14" s="28" t="s">
        <v>1</v>
      </c>
      <c r="L14" s="28" t="s">
        <v>1</v>
      </c>
      <c r="M14" s="29" t="s">
        <v>1</v>
      </c>
    </row>
    <row r="15" spans="2:13" ht="3.75" customHeight="1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ht="25.5" customHeight="1">
      <c r="B16" s="200" t="s">
        <v>216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2"/>
    </row>
    <row r="17" spans="2:13" ht="18" customHeight="1">
      <c r="B17" s="181" t="s">
        <v>125</v>
      </c>
      <c r="C17" s="168"/>
      <c r="D17" s="168" t="s">
        <v>126</v>
      </c>
      <c r="E17" s="168"/>
      <c r="F17" s="168" t="s">
        <v>127</v>
      </c>
      <c r="G17" s="168"/>
      <c r="H17" s="168" t="s">
        <v>220</v>
      </c>
      <c r="I17" s="168"/>
      <c r="J17" s="168"/>
      <c r="K17" s="168" t="s">
        <v>128</v>
      </c>
      <c r="L17" s="168"/>
      <c r="M17" s="169"/>
    </row>
    <row r="18" spans="2:13" ht="16.5" customHeight="1">
      <c r="B18" s="607" t="s">
        <v>124</v>
      </c>
      <c r="C18" s="600"/>
      <c r="D18" s="180" t="s">
        <v>340</v>
      </c>
      <c r="E18" s="180"/>
      <c r="F18" s="180" t="s">
        <v>6</v>
      </c>
      <c r="G18" s="180"/>
      <c r="H18" s="185">
        <f>K18/0.088</f>
        <v>659.0909090909091</v>
      </c>
      <c r="I18" s="185"/>
      <c r="J18" s="185"/>
      <c r="K18" s="186">
        <v>58</v>
      </c>
      <c r="L18" s="186"/>
      <c r="M18" s="187"/>
    </row>
    <row r="19" spans="2:13" ht="16.5" customHeight="1">
      <c r="B19" s="607"/>
      <c r="C19" s="600"/>
      <c r="D19" s="600" t="s">
        <v>255</v>
      </c>
      <c r="E19" s="600"/>
      <c r="F19" s="605" t="s">
        <v>6</v>
      </c>
      <c r="G19" s="606"/>
      <c r="H19" s="611">
        <f>K19/0.088</f>
        <v>681.8181818181819</v>
      </c>
      <c r="I19" s="612"/>
      <c r="J19" s="613"/>
      <c r="K19" s="617">
        <v>60</v>
      </c>
      <c r="L19" s="618"/>
      <c r="M19" s="619"/>
    </row>
    <row r="20" spans="2:13" ht="16.5" customHeight="1">
      <c r="B20" s="607"/>
      <c r="C20" s="600"/>
      <c r="D20" s="600" t="s">
        <v>5</v>
      </c>
      <c r="E20" s="600"/>
      <c r="F20" s="600" t="s">
        <v>6</v>
      </c>
      <c r="G20" s="600"/>
      <c r="H20" s="185">
        <f>K20/0.088</f>
        <v>840.909090909091</v>
      </c>
      <c r="I20" s="185"/>
      <c r="J20" s="185"/>
      <c r="K20" s="611">
        <v>74</v>
      </c>
      <c r="L20" s="612"/>
      <c r="M20" s="614"/>
    </row>
    <row r="21" spans="2:13" ht="16.5" customHeight="1">
      <c r="B21" s="607"/>
      <c r="C21" s="600"/>
      <c r="D21" s="600" t="s">
        <v>255</v>
      </c>
      <c r="E21" s="600"/>
      <c r="F21" s="600" t="s">
        <v>334</v>
      </c>
      <c r="G21" s="600"/>
      <c r="H21" s="185">
        <f>K21/0.088</f>
        <v>534.0909090909091</v>
      </c>
      <c r="I21" s="185"/>
      <c r="J21" s="185"/>
      <c r="K21" s="611">
        <v>47</v>
      </c>
      <c r="L21" s="612"/>
      <c r="M21" s="614"/>
    </row>
    <row r="22" spans="2:13" ht="16.5" customHeight="1" thickBot="1">
      <c r="B22" s="608"/>
      <c r="C22" s="188"/>
      <c r="D22" s="188" t="s">
        <v>5</v>
      </c>
      <c r="E22" s="188"/>
      <c r="F22" s="188" t="s">
        <v>334</v>
      </c>
      <c r="G22" s="188"/>
      <c r="H22" s="185">
        <f>K22/0.088</f>
        <v>670.4545454545455</v>
      </c>
      <c r="I22" s="185"/>
      <c r="J22" s="185"/>
      <c r="K22" s="182">
        <v>59</v>
      </c>
      <c r="L22" s="183"/>
      <c r="M22" s="184"/>
    </row>
    <row r="23" spans="2:13" ht="4.5" customHeight="1" thickBot="1">
      <c r="B23" s="164"/>
      <c r="C23" s="164"/>
      <c r="D23" s="164"/>
      <c r="E23" s="164"/>
      <c r="F23" s="164"/>
      <c r="G23" s="164"/>
      <c r="H23" s="165"/>
      <c r="I23" s="165"/>
      <c r="J23" s="165"/>
      <c r="K23" s="166"/>
      <c r="L23" s="166"/>
      <c r="M23" s="166"/>
    </row>
    <row r="24" spans="2:13" ht="25.5" customHeight="1">
      <c r="B24" s="200" t="s">
        <v>532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2"/>
    </row>
    <row r="25" spans="2:13" ht="18.75" customHeight="1">
      <c r="B25" s="181" t="s">
        <v>125</v>
      </c>
      <c r="C25" s="168"/>
      <c r="D25" s="168" t="s">
        <v>126</v>
      </c>
      <c r="E25" s="168"/>
      <c r="F25" s="168" t="s">
        <v>127</v>
      </c>
      <c r="G25" s="168"/>
      <c r="H25" s="168" t="s">
        <v>220</v>
      </c>
      <c r="I25" s="168"/>
      <c r="J25" s="168"/>
      <c r="K25" s="168" t="s">
        <v>128</v>
      </c>
      <c r="L25" s="168"/>
      <c r="M25" s="169"/>
    </row>
    <row r="26" spans="2:13" ht="15">
      <c r="B26" s="176" t="s">
        <v>527</v>
      </c>
      <c r="C26" s="177"/>
      <c r="D26" s="180" t="s">
        <v>5</v>
      </c>
      <c r="E26" s="180"/>
      <c r="F26" s="180" t="s">
        <v>483</v>
      </c>
      <c r="G26" s="180"/>
      <c r="H26" s="185">
        <f>K26/0.088</f>
        <v>1477.2727272727273</v>
      </c>
      <c r="I26" s="185"/>
      <c r="J26" s="185"/>
      <c r="K26" s="186">
        <v>130</v>
      </c>
      <c r="L26" s="186"/>
      <c r="M26" s="187"/>
    </row>
    <row r="27" spans="1:13" ht="15.75" thickBot="1">
      <c r="A27" s="1"/>
      <c r="B27" s="178" t="s">
        <v>526</v>
      </c>
      <c r="C27" s="179"/>
      <c r="D27" s="188" t="s">
        <v>528</v>
      </c>
      <c r="E27" s="188"/>
      <c r="F27" s="189" t="s">
        <v>483</v>
      </c>
      <c r="G27" s="190"/>
      <c r="H27" s="191">
        <f>K27/0.088</f>
        <v>1700</v>
      </c>
      <c r="I27" s="192"/>
      <c r="J27" s="193"/>
      <c r="K27" s="182">
        <v>149.6</v>
      </c>
      <c r="L27" s="183"/>
      <c r="M27" s="184"/>
    </row>
    <row r="28" ht="3.75" customHeight="1" thickBot="1"/>
    <row r="29" spans="1:13" ht="43.5" customHeight="1">
      <c r="A29" s="2"/>
      <c r="B29" s="200" t="s">
        <v>133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2"/>
    </row>
    <row r="30" spans="1:13" ht="16.5" customHeight="1">
      <c r="A30" s="2"/>
      <c r="B30" s="181" t="s">
        <v>125</v>
      </c>
      <c r="C30" s="168"/>
      <c r="D30" s="167" t="s">
        <v>126</v>
      </c>
      <c r="E30" s="167"/>
      <c r="F30" s="167" t="s">
        <v>127</v>
      </c>
      <c r="G30" s="167"/>
      <c r="H30" s="167"/>
      <c r="I30" s="168" t="s">
        <v>129</v>
      </c>
      <c r="J30" s="168"/>
      <c r="K30" s="168" t="s">
        <v>128</v>
      </c>
      <c r="L30" s="168"/>
      <c r="M30" s="169"/>
    </row>
    <row r="31" spans="1:13" ht="16.5" customHeight="1">
      <c r="A31" s="2"/>
      <c r="B31" s="602" t="s">
        <v>8</v>
      </c>
      <c r="C31" s="172"/>
      <c r="D31" s="172" t="s">
        <v>7</v>
      </c>
      <c r="E31" s="172"/>
      <c r="F31" s="172" t="s">
        <v>6</v>
      </c>
      <c r="G31" s="172"/>
      <c r="H31" s="172"/>
      <c r="I31" s="631">
        <v>5</v>
      </c>
      <c r="J31" s="631"/>
      <c r="K31" s="466">
        <v>135</v>
      </c>
      <c r="L31" s="466"/>
      <c r="M31" s="586"/>
    </row>
    <row r="32" spans="1:13" ht="16.5" customHeight="1" thickBot="1">
      <c r="A32" s="2"/>
      <c r="B32" s="170" t="s">
        <v>8</v>
      </c>
      <c r="C32" s="171"/>
      <c r="D32" s="171" t="s">
        <v>7</v>
      </c>
      <c r="E32" s="171"/>
      <c r="F32" s="171" t="s">
        <v>334</v>
      </c>
      <c r="G32" s="171"/>
      <c r="H32" s="171"/>
      <c r="I32" s="434">
        <v>5</v>
      </c>
      <c r="J32" s="434"/>
      <c r="K32" s="174">
        <v>125</v>
      </c>
      <c r="L32" s="174"/>
      <c r="M32" s="175"/>
    </row>
    <row r="33" spans="1:13" ht="3.75" customHeight="1" thickBot="1">
      <c r="A33" s="2"/>
      <c r="B33" s="161"/>
      <c r="C33" s="161"/>
      <c r="D33" s="161"/>
      <c r="E33" s="161"/>
      <c r="F33" s="161"/>
      <c r="G33" s="161"/>
      <c r="H33" s="161"/>
      <c r="I33" s="89"/>
      <c r="J33" s="89"/>
      <c r="K33" s="163"/>
      <c r="L33" s="163"/>
      <c r="M33" s="163"/>
    </row>
    <row r="34" spans="1:13" ht="42" customHeight="1">
      <c r="A34" s="2"/>
      <c r="B34" s="200" t="s">
        <v>533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/>
    </row>
    <row r="35" spans="1:13" ht="16.5" customHeight="1">
      <c r="A35" s="2"/>
      <c r="B35" s="181" t="s">
        <v>125</v>
      </c>
      <c r="C35" s="168"/>
      <c r="D35" s="167" t="s">
        <v>126</v>
      </c>
      <c r="E35" s="167"/>
      <c r="F35" s="167" t="s">
        <v>127</v>
      </c>
      <c r="G35" s="167"/>
      <c r="H35" s="167"/>
      <c r="I35" s="168" t="s">
        <v>129</v>
      </c>
      <c r="J35" s="168"/>
      <c r="K35" s="168" t="s">
        <v>128</v>
      </c>
      <c r="L35" s="168"/>
      <c r="M35" s="169"/>
    </row>
    <row r="36" spans="1:13" ht="16.5" customHeight="1" thickBot="1">
      <c r="A36" s="2"/>
      <c r="B36" s="170" t="s">
        <v>529</v>
      </c>
      <c r="C36" s="171"/>
      <c r="D36" s="171" t="s">
        <v>530</v>
      </c>
      <c r="E36" s="171"/>
      <c r="F36" s="171" t="s">
        <v>483</v>
      </c>
      <c r="G36" s="171"/>
      <c r="H36" s="171"/>
      <c r="I36" s="173">
        <v>10</v>
      </c>
      <c r="J36" s="173"/>
      <c r="K36" s="174">
        <v>180</v>
      </c>
      <c r="L36" s="174"/>
      <c r="M36" s="175"/>
    </row>
    <row r="37" ht="3.75" customHeight="1" thickBot="1">
      <c r="A37" s="2"/>
    </row>
    <row r="38" spans="1:13" ht="53.25" customHeight="1">
      <c r="A38" s="2"/>
      <c r="B38" s="200" t="s">
        <v>134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</row>
    <row r="39" spans="2:13" ht="15">
      <c r="B39" s="181" t="s">
        <v>130</v>
      </c>
      <c r="C39" s="168"/>
      <c r="D39" s="168"/>
      <c r="E39" s="168"/>
      <c r="F39" s="168"/>
      <c r="G39" s="168"/>
      <c r="H39" s="167" t="s">
        <v>127</v>
      </c>
      <c r="I39" s="167"/>
      <c r="J39" s="167"/>
      <c r="K39" s="168" t="s">
        <v>128</v>
      </c>
      <c r="L39" s="168"/>
      <c r="M39" s="169"/>
    </row>
    <row r="40" spans="2:13" ht="15">
      <c r="B40" s="223" t="s">
        <v>159</v>
      </c>
      <c r="C40" s="224"/>
      <c r="D40" s="224"/>
      <c r="E40" s="224"/>
      <c r="F40" s="224"/>
      <c r="G40" s="224"/>
      <c r="H40" s="172" t="s">
        <v>6</v>
      </c>
      <c r="I40" s="172"/>
      <c r="J40" s="172"/>
      <c r="K40" s="594">
        <v>50</v>
      </c>
      <c r="L40" s="594"/>
      <c r="M40" s="595"/>
    </row>
    <row r="41" spans="2:13" ht="15">
      <c r="B41" s="223" t="s">
        <v>450</v>
      </c>
      <c r="C41" s="224"/>
      <c r="D41" s="224"/>
      <c r="E41" s="224"/>
      <c r="F41" s="224"/>
      <c r="G41" s="224"/>
      <c r="H41" s="588" t="s">
        <v>6</v>
      </c>
      <c r="I41" s="589"/>
      <c r="J41" s="590"/>
      <c r="K41" s="244">
        <v>50</v>
      </c>
      <c r="L41" s="245"/>
      <c r="M41" s="246"/>
    </row>
    <row r="42" spans="2:13" ht="15">
      <c r="B42" s="223" t="s">
        <v>451</v>
      </c>
      <c r="C42" s="224"/>
      <c r="D42" s="224"/>
      <c r="E42" s="224"/>
      <c r="F42" s="224"/>
      <c r="G42" s="224"/>
      <c r="H42" s="588" t="s">
        <v>6</v>
      </c>
      <c r="I42" s="589"/>
      <c r="J42" s="590"/>
      <c r="K42" s="244">
        <v>50</v>
      </c>
      <c r="L42" s="245"/>
      <c r="M42" s="246"/>
    </row>
    <row r="43" spans="2:13" ht="15">
      <c r="B43" s="223" t="s">
        <v>2</v>
      </c>
      <c r="C43" s="224"/>
      <c r="D43" s="224"/>
      <c r="E43" s="224"/>
      <c r="F43" s="224"/>
      <c r="G43" s="224"/>
      <c r="H43" s="172" t="s">
        <v>6</v>
      </c>
      <c r="I43" s="172"/>
      <c r="J43" s="172"/>
      <c r="K43" s="594">
        <v>40</v>
      </c>
      <c r="L43" s="594"/>
      <c r="M43" s="595"/>
    </row>
    <row r="44" spans="2:13" ht="15">
      <c r="B44" s="223" t="s">
        <v>3</v>
      </c>
      <c r="C44" s="224"/>
      <c r="D44" s="224"/>
      <c r="E44" s="224"/>
      <c r="F44" s="224"/>
      <c r="G44" s="224"/>
      <c r="H44" s="172" t="s">
        <v>6</v>
      </c>
      <c r="I44" s="172"/>
      <c r="J44" s="172"/>
      <c r="K44" s="594">
        <v>40</v>
      </c>
      <c r="L44" s="594"/>
      <c r="M44" s="595"/>
    </row>
    <row r="45" spans="2:13" ht="15">
      <c r="B45" s="223" t="s">
        <v>4</v>
      </c>
      <c r="C45" s="224"/>
      <c r="D45" s="224"/>
      <c r="E45" s="224"/>
      <c r="F45" s="224"/>
      <c r="G45" s="224"/>
      <c r="H45" s="172" t="s">
        <v>6</v>
      </c>
      <c r="I45" s="172"/>
      <c r="J45" s="172"/>
      <c r="K45" s="594">
        <v>40</v>
      </c>
      <c r="L45" s="594"/>
      <c r="M45" s="595"/>
    </row>
    <row r="46" spans="2:13" ht="15.75" thickBot="1">
      <c r="B46" s="242" t="s">
        <v>123</v>
      </c>
      <c r="C46" s="243"/>
      <c r="D46" s="243"/>
      <c r="E46" s="243"/>
      <c r="F46" s="243"/>
      <c r="G46" s="243"/>
      <c r="H46" s="171" t="s">
        <v>6</v>
      </c>
      <c r="I46" s="171"/>
      <c r="J46" s="171"/>
      <c r="K46" s="615">
        <v>45</v>
      </c>
      <c r="L46" s="615"/>
      <c r="M46" s="616"/>
    </row>
    <row r="47" spans="2:13" ht="3" customHeight="1" thickBot="1">
      <c r="B47" s="7"/>
      <c r="C47" s="7"/>
      <c r="D47" s="7"/>
      <c r="E47" s="7"/>
      <c r="F47" s="7"/>
      <c r="G47" s="7"/>
      <c r="H47" s="8"/>
      <c r="I47" s="8"/>
      <c r="J47" s="8"/>
      <c r="K47" s="9"/>
      <c r="L47" s="9"/>
      <c r="M47" s="9"/>
    </row>
    <row r="48" spans="2:13" ht="16.5" customHeight="1">
      <c r="B48" s="200" t="s">
        <v>178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2"/>
    </row>
    <row r="49" spans="2:13" ht="16.5" customHeight="1">
      <c r="B49" s="181" t="s">
        <v>130</v>
      </c>
      <c r="C49" s="168"/>
      <c r="D49" s="168"/>
      <c r="E49" s="168"/>
      <c r="F49" s="168"/>
      <c r="G49" s="168"/>
      <c r="H49" s="168" t="s">
        <v>181</v>
      </c>
      <c r="I49" s="168"/>
      <c r="J49" s="168"/>
      <c r="K49" s="168" t="s">
        <v>211</v>
      </c>
      <c r="L49" s="168"/>
      <c r="M49" s="169"/>
    </row>
    <row r="50" spans="2:13" ht="15.75" thickBot="1">
      <c r="B50" s="223" t="s">
        <v>179</v>
      </c>
      <c r="C50" s="224"/>
      <c r="D50" s="224"/>
      <c r="E50" s="224"/>
      <c r="F50" s="224"/>
      <c r="G50" s="224"/>
      <c r="H50" s="168" t="s">
        <v>531</v>
      </c>
      <c r="I50" s="168"/>
      <c r="J50" s="168"/>
      <c r="K50" s="466">
        <v>3000</v>
      </c>
      <c r="L50" s="466"/>
      <c r="M50" s="586"/>
    </row>
    <row r="51" spans="2:13" ht="15.75" thickBot="1">
      <c r="B51" s="596" t="s">
        <v>180</v>
      </c>
      <c r="C51" s="597"/>
      <c r="D51" s="597"/>
      <c r="E51" s="597"/>
      <c r="F51" s="597"/>
      <c r="G51" s="597"/>
      <c r="H51" s="591" t="s">
        <v>531</v>
      </c>
      <c r="I51" s="591"/>
      <c r="J51" s="591"/>
      <c r="K51" s="592">
        <v>3500</v>
      </c>
      <c r="L51" s="592"/>
      <c r="M51" s="593"/>
    </row>
    <row r="52" spans="2:13" ht="15.75" thickBot="1">
      <c r="B52" s="598" t="s">
        <v>25</v>
      </c>
      <c r="C52" s="599"/>
      <c r="D52" s="599"/>
      <c r="E52" s="599"/>
      <c r="F52" s="599"/>
      <c r="G52" s="599"/>
      <c r="H52" s="587" t="s">
        <v>182</v>
      </c>
      <c r="I52" s="587"/>
      <c r="J52" s="587"/>
      <c r="K52" s="584">
        <v>6500</v>
      </c>
      <c r="L52" s="584"/>
      <c r="M52" s="585"/>
    </row>
    <row r="53" spans="2:13" ht="15">
      <c r="B53" s="348" t="s">
        <v>17</v>
      </c>
      <c r="C53" s="349"/>
      <c r="D53" s="349"/>
      <c r="E53" s="349"/>
      <c r="F53" s="349"/>
      <c r="G53" s="349"/>
      <c r="H53" s="583"/>
      <c r="I53" s="583"/>
      <c r="J53" s="583"/>
      <c r="K53" s="629">
        <v>600</v>
      </c>
      <c r="L53" s="629"/>
      <c r="M53" s="630"/>
    </row>
    <row r="54" spans="2:13" ht="15">
      <c r="B54" s="223" t="s">
        <v>18</v>
      </c>
      <c r="C54" s="224"/>
      <c r="D54" s="224"/>
      <c r="E54" s="224"/>
      <c r="F54" s="224"/>
      <c r="G54" s="224"/>
      <c r="H54" s="172" t="s">
        <v>183</v>
      </c>
      <c r="I54" s="172"/>
      <c r="J54" s="172"/>
      <c r="K54" s="466">
        <v>1000</v>
      </c>
      <c r="L54" s="466"/>
      <c r="M54" s="586"/>
    </row>
    <row r="55" spans="2:13" ht="15">
      <c r="B55" s="223" t="s">
        <v>19</v>
      </c>
      <c r="C55" s="224"/>
      <c r="D55" s="224"/>
      <c r="E55" s="224"/>
      <c r="F55" s="224"/>
      <c r="G55" s="224"/>
      <c r="H55" s="256"/>
      <c r="I55" s="256"/>
      <c r="J55" s="256"/>
      <c r="K55" s="466">
        <v>350</v>
      </c>
      <c r="L55" s="466"/>
      <c r="M55" s="586"/>
    </row>
    <row r="56" spans="2:13" ht="15">
      <c r="B56" s="223" t="s">
        <v>20</v>
      </c>
      <c r="C56" s="224"/>
      <c r="D56" s="224"/>
      <c r="E56" s="224"/>
      <c r="F56" s="224"/>
      <c r="G56" s="224"/>
      <c r="H56" s="256"/>
      <c r="I56" s="256"/>
      <c r="J56" s="256"/>
      <c r="K56" s="466">
        <v>1370</v>
      </c>
      <c r="L56" s="466"/>
      <c r="M56" s="586"/>
    </row>
    <row r="57" spans="2:13" ht="15">
      <c r="B57" s="223" t="s">
        <v>21</v>
      </c>
      <c r="C57" s="224"/>
      <c r="D57" s="224"/>
      <c r="E57" s="224"/>
      <c r="F57" s="224"/>
      <c r="G57" s="224"/>
      <c r="H57" s="256"/>
      <c r="I57" s="256"/>
      <c r="J57" s="256"/>
      <c r="K57" s="466">
        <v>1500</v>
      </c>
      <c r="L57" s="466"/>
      <c r="M57" s="586"/>
    </row>
    <row r="58" spans="2:13" ht="15">
      <c r="B58" s="223" t="s">
        <v>22</v>
      </c>
      <c r="C58" s="224"/>
      <c r="D58" s="224"/>
      <c r="E58" s="224"/>
      <c r="F58" s="224"/>
      <c r="G58" s="224"/>
      <c r="H58" s="256"/>
      <c r="I58" s="256"/>
      <c r="J58" s="256"/>
      <c r="K58" s="466">
        <v>2200</v>
      </c>
      <c r="L58" s="466"/>
      <c r="M58" s="586"/>
    </row>
    <row r="59" spans="2:13" ht="15">
      <c r="B59" s="223" t="s">
        <v>23</v>
      </c>
      <c r="C59" s="224"/>
      <c r="D59" s="224"/>
      <c r="E59" s="224"/>
      <c r="F59" s="224"/>
      <c r="G59" s="224"/>
      <c r="H59" s="256"/>
      <c r="I59" s="256"/>
      <c r="J59" s="256"/>
      <c r="K59" s="466">
        <v>500</v>
      </c>
      <c r="L59" s="466"/>
      <c r="M59" s="586"/>
    </row>
    <row r="60" spans="2:13" ht="15.75" thickBot="1">
      <c r="B60" s="242" t="s">
        <v>24</v>
      </c>
      <c r="C60" s="243"/>
      <c r="D60" s="243"/>
      <c r="E60" s="243"/>
      <c r="F60" s="243"/>
      <c r="G60" s="243"/>
      <c r="H60" s="628"/>
      <c r="I60" s="628"/>
      <c r="J60" s="628"/>
      <c r="K60" s="174">
        <v>1500</v>
      </c>
      <c r="L60" s="174"/>
      <c r="M60" s="175"/>
    </row>
    <row r="61" spans="2:13" ht="3.75" customHeight="1" thickBot="1">
      <c r="B61" s="7"/>
      <c r="C61" s="7"/>
      <c r="D61" s="7"/>
      <c r="E61" s="7"/>
      <c r="F61" s="7"/>
      <c r="G61" s="7"/>
      <c r="H61" s="13"/>
      <c r="I61" s="13"/>
      <c r="J61" s="13"/>
      <c r="K61" s="12"/>
      <c r="L61" s="12"/>
      <c r="M61" s="12"/>
    </row>
    <row r="62" spans="2:13" ht="43.5" customHeight="1">
      <c r="B62" s="200" t="s">
        <v>132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2"/>
    </row>
    <row r="63" spans="2:13" ht="15">
      <c r="B63" s="181" t="s">
        <v>113</v>
      </c>
      <c r="C63" s="168"/>
      <c r="D63" s="168" t="s">
        <v>345</v>
      </c>
      <c r="E63" s="168"/>
      <c r="F63" s="168" t="s">
        <v>221</v>
      </c>
      <c r="G63" s="168" t="s">
        <v>346</v>
      </c>
      <c r="H63" s="168"/>
      <c r="I63" s="579" t="s">
        <v>342</v>
      </c>
      <c r="J63" s="579"/>
      <c r="K63" s="579"/>
      <c r="L63" s="168" t="s">
        <v>225</v>
      </c>
      <c r="M63" s="169"/>
    </row>
    <row r="64" spans="2:13" ht="15">
      <c r="B64" s="181"/>
      <c r="C64" s="168"/>
      <c r="D64" s="168"/>
      <c r="E64" s="168"/>
      <c r="F64" s="168"/>
      <c r="G64" s="168"/>
      <c r="H64" s="168"/>
      <c r="I64" s="579"/>
      <c r="J64" s="579"/>
      <c r="K64" s="579"/>
      <c r="L64" s="168"/>
      <c r="M64" s="169"/>
    </row>
    <row r="65" spans="2:13" ht="15">
      <c r="B65" s="223" t="s">
        <v>136</v>
      </c>
      <c r="C65" s="224"/>
      <c r="D65" s="172">
        <v>6</v>
      </c>
      <c r="E65" s="172"/>
      <c r="F65" s="66">
        <v>14000</v>
      </c>
      <c r="G65" s="247">
        <f>F65*0.02*0.096*3*D65</f>
        <v>483.84000000000003</v>
      </c>
      <c r="H65" s="247"/>
      <c r="I65" s="569">
        <v>1.584</v>
      </c>
      <c r="J65" s="569"/>
      <c r="K65" s="569"/>
      <c r="L65" s="247">
        <f>F65*0.02*96/88</f>
        <v>305.45454545454544</v>
      </c>
      <c r="M65" s="248"/>
    </row>
    <row r="66" spans="2:13" ht="15">
      <c r="B66" s="223" t="s">
        <v>137</v>
      </c>
      <c r="C66" s="224"/>
      <c r="D66" s="172">
        <v>6</v>
      </c>
      <c r="E66" s="172"/>
      <c r="F66" s="66">
        <v>14000</v>
      </c>
      <c r="G66" s="247">
        <f>F66*0.02*0.096*4*D66</f>
        <v>645.12</v>
      </c>
      <c r="H66" s="247"/>
      <c r="I66" s="569">
        <v>2.112</v>
      </c>
      <c r="J66" s="569"/>
      <c r="K66" s="569"/>
      <c r="L66" s="247">
        <f>F66*0.02*96/88</f>
        <v>305.45454545454544</v>
      </c>
      <c r="M66" s="248"/>
    </row>
    <row r="67" spans="2:13" ht="15">
      <c r="B67" s="205" t="s">
        <v>472</v>
      </c>
      <c r="C67" s="206"/>
      <c r="D67" s="588">
        <v>4</v>
      </c>
      <c r="E67" s="590"/>
      <c r="F67" s="144">
        <v>13500</v>
      </c>
      <c r="G67" s="247">
        <f>F67*0.028*0.142*6*D67</f>
        <v>1288.224</v>
      </c>
      <c r="H67" s="247"/>
      <c r="I67" s="576">
        <v>3.24</v>
      </c>
      <c r="J67" s="577"/>
      <c r="K67" s="578"/>
      <c r="L67" s="247">
        <f>F67*0.028*142/135</f>
        <v>397.6</v>
      </c>
      <c r="M67" s="248"/>
    </row>
    <row r="68" spans="2:13" ht="15">
      <c r="B68" s="205" t="s">
        <v>473</v>
      </c>
      <c r="C68" s="206"/>
      <c r="D68" s="588">
        <v>3</v>
      </c>
      <c r="E68" s="590"/>
      <c r="F68" s="144">
        <v>13500</v>
      </c>
      <c r="G68" s="247">
        <f>F68*0.036*0.143*3*D68</f>
        <v>625.482</v>
      </c>
      <c r="H68" s="247"/>
      <c r="I68" s="576">
        <v>1.215</v>
      </c>
      <c r="J68" s="577"/>
      <c r="K68" s="578"/>
      <c r="L68" s="247">
        <f>F68*0.036*143/135</f>
        <v>514.7999999999998</v>
      </c>
      <c r="M68" s="248"/>
    </row>
    <row r="69" spans="2:15" ht="15">
      <c r="B69" s="205" t="s">
        <v>474</v>
      </c>
      <c r="C69" s="206"/>
      <c r="D69" s="588">
        <v>3</v>
      </c>
      <c r="E69" s="590"/>
      <c r="F69" s="144">
        <v>13500</v>
      </c>
      <c r="G69" s="247">
        <f>F69*0.036*0.143*5.8*D69</f>
        <v>1209.2651999999998</v>
      </c>
      <c r="H69" s="247"/>
      <c r="I69" s="576">
        <v>2.349</v>
      </c>
      <c r="J69" s="577"/>
      <c r="K69" s="578"/>
      <c r="L69" s="247">
        <f>F69*0.036*143/135</f>
        <v>514.7999999999998</v>
      </c>
      <c r="M69" s="248"/>
      <c r="N69" s="39"/>
      <c r="O69" s="1"/>
    </row>
    <row r="70" spans="2:15" ht="15">
      <c r="B70" s="205" t="s">
        <v>475</v>
      </c>
      <c r="C70" s="206"/>
      <c r="D70" s="588">
        <v>3</v>
      </c>
      <c r="E70" s="590"/>
      <c r="F70" s="144">
        <v>13500</v>
      </c>
      <c r="G70" s="247">
        <f>F70*0.036*0.143*6*D70</f>
        <v>1250.964</v>
      </c>
      <c r="H70" s="247"/>
      <c r="I70" s="576">
        <v>2.43</v>
      </c>
      <c r="J70" s="577"/>
      <c r="K70" s="578"/>
      <c r="L70" s="247">
        <f>F70*0.036*143/135</f>
        <v>514.7999999999998</v>
      </c>
      <c r="M70" s="248"/>
      <c r="N70" s="39"/>
      <c r="O70" s="1"/>
    </row>
    <row r="71" spans="2:15" ht="15">
      <c r="B71" s="205" t="s">
        <v>476</v>
      </c>
      <c r="C71" s="206"/>
      <c r="D71" s="588">
        <v>3</v>
      </c>
      <c r="E71" s="590"/>
      <c r="F71" s="144">
        <v>13500</v>
      </c>
      <c r="G71" s="247">
        <f>F71*0.036*0.142*6*D71</f>
        <v>1242.2159999999997</v>
      </c>
      <c r="H71" s="247"/>
      <c r="I71" s="576">
        <v>2.394</v>
      </c>
      <c r="J71" s="577"/>
      <c r="K71" s="578"/>
      <c r="L71" s="247">
        <f>F71*0.036*142/133</f>
        <v>518.8872180451127</v>
      </c>
      <c r="M71" s="248"/>
      <c r="N71" s="39"/>
      <c r="O71" s="1"/>
    </row>
    <row r="72" spans="2:15" ht="15">
      <c r="B72" s="205" t="s">
        <v>347</v>
      </c>
      <c r="C72" s="206"/>
      <c r="D72" s="172">
        <v>2</v>
      </c>
      <c r="E72" s="172"/>
      <c r="F72" s="66">
        <v>13500</v>
      </c>
      <c r="G72" s="570">
        <f>F72*0.036*0.17*5*D72</f>
        <v>826.1999999999999</v>
      </c>
      <c r="H72" s="570"/>
      <c r="I72" s="569">
        <v>1.6</v>
      </c>
      <c r="J72" s="569"/>
      <c r="K72" s="569"/>
      <c r="L72" s="247">
        <f>F72*0.036*170/160</f>
        <v>516.3749999999999</v>
      </c>
      <c r="M72" s="248"/>
      <c r="N72" s="39"/>
      <c r="O72" s="1"/>
    </row>
    <row r="73" spans="2:13" ht="15">
      <c r="B73" s="228" t="s">
        <v>353</v>
      </c>
      <c r="C73" s="229"/>
      <c r="D73" s="316">
        <v>2</v>
      </c>
      <c r="E73" s="575"/>
      <c r="F73" s="99">
        <v>13500</v>
      </c>
      <c r="G73" s="570">
        <f>F73*0.036*0.17*5.8*D73</f>
        <v>958.3919999999998</v>
      </c>
      <c r="H73" s="570"/>
      <c r="I73" s="572">
        <v>1.856</v>
      </c>
      <c r="J73" s="573"/>
      <c r="K73" s="574"/>
      <c r="L73" s="247">
        <f>F73*0.036*170/160</f>
        <v>516.3749999999999</v>
      </c>
      <c r="M73" s="248"/>
    </row>
    <row r="74" spans="2:13" ht="15">
      <c r="B74" s="205" t="s">
        <v>336</v>
      </c>
      <c r="C74" s="206"/>
      <c r="D74" s="172">
        <v>2</v>
      </c>
      <c r="E74" s="172"/>
      <c r="F74" s="66">
        <v>13500</v>
      </c>
      <c r="G74" s="570">
        <f>F74*0.036*0.17*6*D74</f>
        <v>991.4399999999998</v>
      </c>
      <c r="H74" s="570"/>
      <c r="I74" s="569">
        <v>1.92</v>
      </c>
      <c r="J74" s="569"/>
      <c r="K74" s="569"/>
      <c r="L74" s="247">
        <f>F74*0.036*170/160</f>
        <v>516.3749999999999</v>
      </c>
      <c r="M74" s="248"/>
    </row>
    <row r="75" spans="2:13" ht="15">
      <c r="B75" s="205" t="s">
        <v>335</v>
      </c>
      <c r="C75" s="206"/>
      <c r="D75" s="172">
        <v>2</v>
      </c>
      <c r="E75" s="172"/>
      <c r="F75" s="66">
        <v>13500</v>
      </c>
      <c r="G75" s="570">
        <f>F75*0.036*0.19*5.8*D75</f>
        <v>1071.1439999999998</v>
      </c>
      <c r="H75" s="570"/>
      <c r="I75" s="569">
        <v>2.088</v>
      </c>
      <c r="J75" s="569"/>
      <c r="K75" s="569"/>
      <c r="L75" s="247">
        <f>F75*0.036*190/180</f>
        <v>512.9999999999999</v>
      </c>
      <c r="M75" s="248"/>
    </row>
    <row r="76" spans="2:13" ht="15">
      <c r="B76" s="205" t="s">
        <v>330</v>
      </c>
      <c r="C76" s="206"/>
      <c r="D76" s="172">
        <v>2</v>
      </c>
      <c r="E76" s="172"/>
      <c r="F76" s="66">
        <v>13500</v>
      </c>
      <c r="G76" s="570">
        <f>F76*0.036*0.19*6*D76</f>
        <v>1108.08</v>
      </c>
      <c r="H76" s="570"/>
      <c r="I76" s="569">
        <v>2.16</v>
      </c>
      <c r="J76" s="569"/>
      <c r="K76" s="569"/>
      <c r="L76" s="247">
        <f>F76*0.036*190/180</f>
        <v>512.9999999999999</v>
      </c>
      <c r="M76" s="248"/>
    </row>
    <row r="77" spans="2:13" s="4" customFormat="1" ht="15.75" thickBot="1">
      <c r="B77" s="242" t="s">
        <v>354</v>
      </c>
      <c r="C77" s="243"/>
      <c r="D77" s="171">
        <v>6</v>
      </c>
      <c r="E77" s="171"/>
      <c r="F77" s="68">
        <v>8500</v>
      </c>
      <c r="G77" s="249">
        <f>F77*0.02*0.096*3*D77</f>
        <v>293.76</v>
      </c>
      <c r="H77" s="249"/>
      <c r="I77" s="571">
        <v>1.62</v>
      </c>
      <c r="J77" s="571"/>
      <c r="K77" s="571"/>
      <c r="L77" s="249">
        <f>F77*0.02*96/88</f>
        <v>185.45454545454547</v>
      </c>
      <c r="M77" s="250"/>
    </row>
    <row r="78" spans="2:13" s="97" customFormat="1" ht="3.75" customHeight="1" thickBo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s="97" customFormat="1" ht="45" customHeight="1">
      <c r="B79" s="225" t="s">
        <v>131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7"/>
    </row>
    <row r="80" spans="2:13" s="97" customFormat="1" ht="15">
      <c r="B80" s="181" t="s">
        <v>113</v>
      </c>
      <c r="C80" s="168"/>
      <c r="D80" s="168" t="s">
        <v>345</v>
      </c>
      <c r="E80" s="168" t="s">
        <v>221</v>
      </c>
      <c r="F80" s="168"/>
      <c r="G80" s="168" t="s">
        <v>346</v>
      </c>
      <c r="H80" s="168"/>
      <c r="I80" s="579" t="s">
        <v>342</v>
      </c>
      <c r="J80" s="579"/>
      <c r="K80" s="579"/>
      <c r="L80" s="168" t="s">
        <v>348</v>
      </c>
      <c r="M80" s="169"/>
    </row>
    <row r="81" spans="2:13" s="97" customFormat="1" ht="15">
      <c r="B81" s="181"/>
      <c r="C81" s="168"/>
      <c r="D81" s="168"/>
      <c r="E81" s="168"/>
      <c r="F81" s="168"/>
      <c r="G81" s="168"/>
      <c r="H81" s="168"/>
      <c r="I81" s="579"/>
      <c r="J81" s="579"/>
      <c r="K81" s="579"/>
      <c r="L81" s="168"/>
      <c r="M81" s="169"/>
    </row>
    <row r="82" spans="2:13" s="98" customFormat="1" ht="15">
      <c r="B82" s="205" t="s">
        <v>507</v>
      </c>
      <c r="C82" s="206"/>
      <c r="D82" s="152">
        <v>5</v>
      </c>
      <c r="E82" s="207">
        <v>15000</v>
      </c>
      <c r="F82" s="208"/>
      <c r="G82" s="209">
        <f>E82*0.02*0.143*4*D82</f>
        <v>858</v>
      </c>
      <c r="H82" s="209"/>
      <c r="I82" s="210">
        <v>2.7</v>
      </c>
      <c r="J82" s="211"/>
      <c r="K82" s="212"/>
      <c r="L82" s="213">
        <f>E82*0.02*143/135</f>
        <v>317.77777777777777</v>
      </c>
      <c r="M82" s="214"/>
    </row>
    <row r="83" spans="2:13" s="98" customFormat="1" ht="15.75" thickBot="1">
      <c r="B83" s="622" t="s">
        <v>459</v>
      </c>
      <c r="C83" s="623"/>
      <c r="D83" s="141">
        <v>6</v>
      </c>
      <c r="E83" s="240">
        <v>15000</v>
      </c>
      <c r="F83" s="241"/>
      <c r="G83" s="582">
        <f>E83*0.018*0.142*6*D83</f>
        <v>1380.2399999999998</v>
      </c>
      <c r="H83" s="582"/>
      <c r="I83" s="217">
        <v>4.824</v>
      </c>
      <c r="J83" s="218"/>
      <c r="K83" s="219"/>
      <c r="L83" s="580">
        <f>E83*0.018*142/134</f>
        <v>286.1194029850746</v>
      </c>
      <c r="M83" s="581"/>
    </row>
    <row r="84" spans="2:13" s="98" customFormat="1" ht="6" customHeight="1" thickBot="1">
      <c r="B84" s="37"/>
      <c r="C84" s="37"/>
      <c r="D84" s="45"/>
      <c r="E84" s="45"/>
      <c r="F84" s="45"/>
      <c r="G84" s="60"/>
      <c r="H84" s="60"/>
      <c r="I84" s="45"/>
      <c r="J84" s="45"/>
      <c r="K84" s="45"/>
      <c r="L84" s="60"/>
      <c r="M84" s="60"/>
    </row>
    <row r="85" spans="2:13" s="98" customFormat="1" ht="45.75" customHeight="1">
      <c r="B85" s="20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2"/>
    </row>
    <row r="86" spans="2:13" s="98" customFormat="1" ht="15">
      <c r="B86" s="181" t="s">
        <v>113</v>
      </c>
      <c r="C86" s="168"/>
      <c r="D86" s="168" t="s">
        <v>345</v>
      </c>
      <c r="E86" s="168" t="s">
        <v>221</v>
      </c>
      <c r="F86" s="168"/>
      <c r="G86" s="168" t="s">
        <v>346</v>
      </c>
      <c r="H86" s="168"/>
      <c r="I86" s="579" t="s">
        <v>342</v>
      </c>
      <c r="J86" s="579"/>
      <c r="K86" s="579"/>
      <c r="L86" s="168" t="s">
        <v>225</v>
      </c>
      <c r="M86" s="169"/>
    </row>
    <row r="87" spans="2:13" s="98" customFormat="1" ht="15">
      <c r="B87" s="181"/>
      <c r="C87" s="168"/>
      <c r="D87" s="168"/>
      <c r="E87" s="168"/>
      <c r="F87" s="168"/>
      <c r="G87" s="168"/>
      <c r="H87" s="168"/>
      <c r="I87" s="579"/>
      <c r="J87" s="579"/>
      <c r="K87" s="579"/>
      <c r="L87" s="168"/>
      <c r="M87" s="169"/>
    </row>
    <row r="88" spans="2:13" s="98" customFormat="1" ht="15">
      <c r="B88" s="205" t="s">
        <v>349</v>
      </c>
      <c r="C88" s="206"/>
      <c r="D88" s="44">
        <v>6</v>
      </c>
      <c r="E88" s="483">
        <v>14000</v>
      </c>
      <c r="F88" s="483"/>
      <c r="G88" s="247">
        <f>E88*0.02*0.096*3*D88</f>
        <v>483.84000000000003</v>
      </c>
      <c r="H88" s="247"/>
      <c r="I88" s="624">
        <v>1.62</v>
      </c>
      <c r="J88" s="624"/>
      <c r="K88" s="624"/>
      <c r="L88" s="247">
        <f>E88*0.02*96/90</f>
        <v>298.6666666666667</v>
      </c>
      <c r="M88" s="248"/>
    </row>
    <row r="89" spans="2:13" s="98" customFormat="1" ht="15">
      <c r="B89" s="228" t="s">
        <v>439</v>
      </c>
      <c r="C89" s="229"/>
      <c r="D89" s="30">
        <v>4</v>
      </c>
      <c r="E89" s="235">
        <v>13000</v>
      </c>
      <c r="F89" s="236"/>
      <c r="G89" s="247">
        <f>E89*0.035*0.096*4*D89</f>
        <v>698.8800000000001</v>
      </c>
      <c r="H89" s="247"/>
      <c r="I89" s="486">
        <v>1.44</v>
      </c>
      <c r="J89" s="487"/>
      <c r="K89" s="488"/>
      <c r="L89" s="247">
        <f>E89*0.035*96/90</f>
        <v>485.3333333333334</v>
      </c>
      <c r="M89" s="248"/>
    </row>
    <row r="90" spans="2:13" s="98" customFormat="1" ht="15">
      <c r="B90" s="228" t="s">
        <v>423</v>
      </c>
      <c r="C90" s="229"/>
      <c r="D90" s="30">
        <v>4</v>
      </c>
      <c r="E90" s="235">
        <v>13000</v>
      </c>
      <c r="F90" s="236"/>
      <c r="G90" s="247">
        <f>E90*0.035*0.096*5*D90</f>
        <v>873.6000000000001</v>
      </c>
      <c r="H90" s="247"/>
      <c r="I90" s="486">
        <v>1.8</v>
      </c>
      <c r="J90" s="487"/>
      <c r="K90" s="488"/>
      <c r="L90" s="247">
        <f>E90*0.035*96/90</f>
        <v>485.3333333333334</v>
      </c>
      <c r="M90" s="248"/>
    </row>
    <row r="91" spans="2:13" s="98" customFormat="1" ht="15">
      <c r="B91" s="228" t="s">
        <v>440</v>
      </c>
      <c r="C91" s="229"/>
      <c r="D91" s="30">
        <v>4</v>
      </c>
      <c r="E91" s="235">
        <v>13000</v>
      </c>
      <c r="F91" s="236"/>
      <c r="G91" s="247">
        <f>E91*0.035*0.096*5.8*D91</f>
        <v>1013.3760000000001</v>
      </c>
      <c r="H91" s="247"/>
      <c r="I91" s="486">
        <v>2.088</v>
      </c>
      <c r="J91" s="487"/>
      <c r="K91" s="488"/>
      <c r="L91" s="247">
        <f>E91*0.035*96/90</f>
        <v>485.3333333333334</v>
      </c>
      <c r="M91" s="248"/>
    </row>
    <row r="92" spans="2:13" s="98" customFormat="1" ht="15">
      <c r="B92" s="228" t="s">
        <v>441</v>
      </c>
      <c r="C92" s="229"/>
      <c r="D92" s="30">
        <v>4</v>
      </c>
      <c r="E92" s="235">
        <v>13000</v>
      </c>
      <c r="F92" s="236"/>
      <c r="G92" s="247">
        <f>E92*0.035*0.096*6*D92</f>
        <v>1048.3200000000002</v>
      </c>
      <c r="H92" s="247"/>
      <c r="I92" s="486">
        <v>2.16</v>
      </c>
      <c r="J92" s="487"/>
      <c r="K92" s="488"/>
      <c r="L92" s="247">
        <f>E92*0.035*96/90</f>
        <v>485.3333333333334</v>
      </c>
      <c r="M92" s="248"/>
    </row>
    <row r="93" spans="2:13" s="97" customFormat="1" ht="15">
      <c r="B93" s="567" t="s">
        <v>338</v>
      </c>
      <c r="C93" s="568"/>
      <c r="D93" s="30">
        <v>3</v>
      </c>
      <c r="E93" s="235">
        <v>13000</v>
      </c>
      <c r="F93" s="236"/>
      <c r="G93" s="247">
        <f>E93*0.035*0.121*6*D93</f>
        <v>990.9900000000001</v>
      </c>
      <c r="H93" s="247"/>
      <c r="I93" s="486">
        <v>2.07</v>
      </c>
      <c r="J93" s="487"/>
      <c r="K93" s="488"/>
      <c r="L93" s="310">
        <f>E93*0.035*121/115</f>
        <v>478.7391304347827</v>
      </c>
      <c r="M93" s="336"/>
    </row>
    <row r="94" spans="2:13" s="97" customFormat="1" ht="15">
      <c r="B94" s="228" t="s">
        <v>509</v>
      </c>
      <c r="C94" s="229"/>
      <c r="D94" s="30">
        <v>3</v>
      </c>
      <c r="E94" s="235">
        <v>13000</v>
      </c>
      <c r="F94" s="236"/>
      <c r="G94" s="247">
        <f>E94*0.035*0.141*3*D94</f>
        <v>577.395</v>
      </c>
      <c r="H94" s="247"/>
      <c r="I94" s="486">
        <v>1.215</v>
      </c>
      <c r="J94" s="487"/>
      <c r="K94" s="488"/>
      <c r="L94" s="310">
        <f>E94*0.035*141/135</f>
        <v>475.2222222222223</v>
      </c>
      <c r="M94" s="336"/>
    </row>
    <row r="95" spans="2:13" s="97" customFormat="1" ht="15">
      <c r="B95" s="228" t="s">
        <v>510</v>
      </c>
      <c r="C95" s="229"/>
      <c r="D95" s="30">
        <v>3</v>
      </c>
      <c r="E95" s="235">
        <v>13000</v>
      </c>
      <c r="F95" s="236"/>
      <c r="G95" s="247">
        <f>E95*0.035*0.141*4*D95</f>
        <v>769.86</v>
      </c>
      <c r="H95" s="247"/>
      <c r="I95" s="486">
        <v>1.62</v>
      </c>
      <c r="J95" s="487"/>
      <c r="K95" s="488"/>
      <c r="L95" s="310">
        <f>E95*0.035*141/135</f>
        <v>475.2222222222223</v>
      </c>
      <c r="M95" s="336"/>
    </row>
    <row r="96" spans="2:13" ht="14.25" customHeight="1">
      <c r="B96" s="228" t="s">
        <v>511</v>
      </c>
      <c r="C96" s="229"/>
      <c r="D96" s="30">
        <v>3</v>
      </c>
      <c r="E96" s="235">
        <v>13000</v>
      </c>
      <c r="F96" s="236"/>
      <c r="G96" s="247">
        <f>E96*0.035*0.141*5*D96</f>
        <v>962.3249999999999</v>
      </c>
      <c r="H96" s="247"/>
      <c r="I96" s="486">
        <v>2.025</v>
      </c>
      <c r="J96" s="487"/>
      <c r="K96" s="488"/>
      <c r="L96" s="310">
        <f>E96*0.035*141/135</f>
        <v>475.2222222222223</v>
      </c>
      <c r="M96" s="336"/>
    </row>
    <row r="97" spans="2:13" ht="14.25" customHeight="1">
      <c r="B97" s="228" t="s">
        <v>422</v>
      </c>
      <c r="C97" s="229"/>
      <c r="D97" s="30">
        <v>3</v>
      </c>
      <c r="E97" s="235">
        <v>13000</v>
      </c>
      <c r="F97" s="236"/>
      <c r="G97" s="247">
        <f>E97*0.035*0.141*6*D97</f>
        <v>1154.79</v>
      </c>
      <c r="H97" s="247"/>
      <c r="I97" s="486">
        <v>2.43</v>
      </c>
      <c r="J97" s="487"/>
      <c r="K97" s="488"/>
      <c r="L97" s="310">
        <f>E97*0.035*141/135</f>
        <v>475.2222222222223</v>
      </c>
      <c r="M97" s="336"/>
    </row>
    <row r="98" spans="1:13" s="97" customFormat="1" ht="14.25" customHeight="1">
      <c r="A98" s="110"/>
      <c r="B98" s="205" t="s">
        <v>425</v>
      </c>
      <c r="C98" s="206"/>
      <c r="D98" s="93">
        <v>3</v>
      </c>
      <c r="E98" s="235">
        <v>14000</v>
      </c>
      <c r="F98" s="236"/>
      <c r="G98" s="247">
        <f>E98*0.041*0.096*3*D98</f>
        <v>495.93600000000004</v>
      </c>
      <c r="H98" s="247"/>
      <c r="I98" s="486">
        <v>0.792</v>
      </c>
      <c r="J98" s="487"/>
      <c r="K98" s="488"/>
      <c r="L98" s="247">
        <f>E98*0.041*96/88</f>
        <v>626.1818181818181</v>
      </c>
      <c r="M98" s="248"/>
    </row>
    <row r="99" spans="1:13" s="109" customFormat="1" ht="14.25" customHeight="1">
      <c r="A99" s="108"/>
      <c r="B99" s="205" t="s">
        <v>424</v>
      </c>
      <c r="C99" s="206"/>
      <c r="D99" s="93">
        <v>3</v>
      </c>
      <c r="E99" s="235">
        <v>14000</v>
      </c>
      <c r="F99" s="236"/>
      <c r="G99" s="247">
        <f>E99*0.041*0.096*6*D99</f>
        <v>991.8720000000001</v>
      </c>
      <c r="H99" s="247"/>
      <c r="I99" s="486">
        <v>1.584</v>
      </c>
      <c r="J99" s="487"/>
      <c r="K99" s="488"/>
      <c r="L99" s="247">
        <f>E99*0.041*96/88</f>
        <v>626.1818181818181</v>
      </c>
      <c r="M99" s="248"/>
    </row>
    <row r="100" spans="1:13" s="109" customFormat="1" ht="14.25" customHeight="1">
      <c r="A100" s="108"/>
      <c r="B100" s="228" t="s">
        <v>454</v>
      </c>
      <c r="C100" s="229"/>
      <c r="D100" s="93">
        <v>2</v>
      </c>
      <c r="E100" s="235">
        <v>14000</v>
      </c>
      <c r="F100" s="236"/>
      <c r="G100" s="247">
        <f>E100*0.041*0.121*3*D100</f>
        <v>416.72399999999993</v>
      </c>
      <c r="H100" s="247"/>
      <c r="I100" s="486">
        <v>0.678</v>
      </c>
      <c r="J100" s="487"/>
      <c r="K100" s="488"/>
      <c r="L100" s="209">
        <f>E100*0.041*121/113</f>
        <v>614.637168141593</v>
      </c>
      <c r="M100" s="335"/>
    </row>
    <row r="101" spans="1:13" s="109" customFormat="1" ht="14.25" customHeight="1">
      <c r="A101" s="108"/>
      <c r="B101" s="228" t="s">
        <v>350</v>
      </c>
      <c r="C101" s="229"/>
      <c r="D101" s="30">
        <v>2</v>
      </c>
      <c r="E101" s="334">
        <v>14000</v>
      </c>
      <c r="F101" s="334"/>
      <c r="G101" s="247">
        <f>E101*0.041*0.121*6*D101</f>
        <v>833.4479999999999</v>
      </c>
      <c r="H101" s="247"/>
      <c r="I101" s="566">
        <v>1.356</v>
      </c>
      <c r="J101" s="566"/>
      <c r="K101" s="566"/>
      <c r="L101" s="209">
        <f>E101*0.041*121/113</f>
        <v>614.637168141593</v>
      </c>
      <c r="M101" s="335"/>
    </row>
    <row r="102" spans="1:13" s="109" customFormat="1" ht="14.25" customHeight="1">
      <c r="A102" s="108"/>
      <c r="B102" s="228" t="s">
        <v>455</v>
      </c>
      <c r="C102" s="229"/>
      <c r="D102" s="30">
        <v>2</v>
      </c>
      <c r="E102" s="235">
        <v>14000</v>
      </c>
      <c r="F102" s="236"/>
      <c r="G102" s="247">
        <f>E102*0.041*0.146*3*D102</f>
        <v>502.82399999999996</v>
      </c>
      <c r="H102" s="247"/>
      <c r="I102" s="486">
        <v>0.828</v>
      </c>
      <c r="J102" s="487"/>
      <c r="K102" s="488"/>
      <c r="L102" s="209">
        <f>E102*0.041*146/138</f>
        <v>607.2753623188406</v>
      </c>
      <c r="M102" s="335"/>
    </row>
    <row r="103" spans="1:13" s="109" customFormat="1" ht="14.25" customHeight="1">
      <c r="A103" s="108"/>
      <c r="B103" s="228" t="s">
        <v>351</v>
      </c>
      <c r="C103" s="229"/>
      <c r="D103" s="30">
        <v>2</v>
      </c>
      <c r="E103" s="334">
        <v>14000</v>
      </c>
      <c r="F103" s="334"/>
      <c r="G103" s="247">
        <f>E103*0.041*0.146*6*D103</f>
        <v>1005.6479999999999</v>
      </c>
      <c r="H103" s="247"/>
      <c r="I103" s="566">
        <v>1.656</v>
      </c>
      <c r="J103" s="566"/>
      <c r="K103" s="566"/>
      <c r="L103" s="209">
        <f>E103*0.041*146/138</f>
        <v>607.2753623188406</v>
      </c>
      <c r="M103" s="335"/>
    </row>
    <row r="104" spans="1:13" s="109" customFormat="1" ht="14.25" customHeight="1" thickBot="1">
      <c r="A104" s="108"/>
      <c r="B104" s="294" t="s">
        <v>352</v>
      </c>
      <c r="C104" s="295"/>
      <c r="D104" s="142">
        <v>6</v>
      </c>
      <c r="E104" s="620">
        <v>8500</v>
      </c>
      <c r="F104" s="620"/>
      <c r="G104" s="249">
        <f>E104*0.02*0.096*3*D104</f>
        <v>293.76</v>
      </c>
      <c r="H104" s="249"/>
      <c r="I104" s="621">
        <v>1.62</v>
      </c>
      <c r="J104" s="621"/>
      <c r="K104" s="621"/>
      <c r="L104" s="249">
        <f>E104*0.02*96/90</f>
        <v>181.33333333333334</v>
      </c>
      <c r="M104" s="250"/>
    </row>
    <row r="105" spans="1:13" s="109" customFormat="1" ht="5.25" customHeight="1" thickBot="1">
      <c r="A105" s="108"/>
      <c r="B105" s="103"/>
      <c r="C105" s="103"/>
      <c r="D105" s="104"/>
      <c r="E105" s="105"/>
      <c r="F105" s="105"/>
      <c r="G105" s="106"/>
      <c r="H105" s="106"/>
      <c r="I105" s="107"/>
      <c r="J105" s="107"/>
      <c r="K105" s="107"/>
      <c r="L105" s="106"/>
      <c r="M105" s="106"/>
    </row>
    <row r="106" spans="1:13" s="109" customFormat="1" ht="49.5" customHeight="1">
      <c r="A106" s="108"/>
      <c r="B106" s="470" t="s">
        <v>355</v>
      </c>
      <c r="C106" s="471"/>
      <c r="D106" s="471"/>
      <c r="E106" s="471"/>
      <c r="F106" s="471"/>
      <c r="G106" s="471"/>
      <c r="H106" s="471"/>
      <c r="I106" s="471"/>
      <c r="J106" s="471"/>
      <c r="K106" s="471"/>
      <c r="L106" s="471"/>
      <c r="M106" s="472"/>
    </row>
    <row r="107" spans="1:13" s="109" customFormat="1" ht="14.25" customHeight="1">
      <c r="A107" s="108"/>
      <c r="B107" s="339" t="s">
        <v>130</v>
      </c>
      <c r="C107" s="334"/>
      <c r="D107" s="334" t="s">
        <v>191</v>
      </c>
      <c r="E107" s="334"/>
      <c r="F107" s="334" t="s">
        <v>389</v>
      </c>
      <c r="G107" s="334"/>
      <c r="H107" s="334" t="s">
        <v>150</v>
      </c>
      <c r="I107" s="334"/>
      <c r="J107" s="334"/>
      <c r="K107" s="334" t="s">
        <v>151</v>
      </c>
      <c r="L107" s="334"/>
      <c r="M107" s="473"/>
    </row>
    <row r="108" spans="1:13" s="109" customFormat="1" ht="14.25" customHeight="1">
      <c r="A108" s="108"/>
      <c r="B108" s="337" t="s">
        <v>488</v>
      </c>
      <c r="C108" s="338"/>
      <c r="D108" s="737">
        <v>2.2</v>
      </c>
      <c r="E108" s="738"/>
      <c r="F108" s="334">
        <v>10</v>
      </c>
      <c r="G108" s="334"/>
      <c r="H108" s="209">
        <f>K108/2.2</f>
        <v>26.249999999999996</v>
      </c>
      <c r="I108" s="209"/>
      <c r="J108" s="209"/>
      <c r="K108" s="209">
        <v>57.75</v>
      </c>
      <c r="L108" s="209"/>
      <c r="M108" s="335"/>
    </row>
    <row r="109" spans="1:13" s="109" customFormat="1" ht="14.25" customHeight="1">
      <c r="A109" s="108"/>
      <c r="B109" s="275" t="s">
        <v>356</v>
      </c>
      <c r="C109" s="276"/>
      <c r="D109" s="739"/>
      <c r="E109" s="740"/>
      <c r="F109" s="334">
        <v>10</v>
      </c>
      <c r="G109" s="334"/>
      <c r="H109" s="209">
        <f aca="true" t="shared" si="3" ref="H109:H131">K109/2.2</f>
        <v>27.954545454545453</v>
      </c>
      <c r="I109" s="209"/>
      <c r="J109" s="209"/>
      <c r="K109" s="209">
        <v>61.5</v>
      </c>
      <c r="L109" s="209"/>
      <c r="M109" s="335"/>
    </row>
    <row r="110" spans="1:13" s="109" customFormat="1" ht="14.25" customHeight="1">
      <c r="A110" s="108"/>
      <c r="B110" s="275" t="s">
        <v>357</v>
      </c>
      <c r="C110" s="276"/>
      <c r="D110" s="739"/>
      <c r="E110" s="740"/>
      <c r="F110" s="235">
        <v>10</v>
      </c>
      <c r="G110" s="236"/>
      <c r="H110" s="209">
        <f>K110/2.2</f>
        <v>27.954545454545453</v>
      </c>
      <c r="I110" s="209"/>
      <c r="J110" s="209"/>
      <c r="K110" s="209">
        <v>61.5</v>
      </c>
      <c r="L110" s="209"/>
      <c r="M110" s="335"/>
    </row>
    <row r="111" spans="1:13" s="109" customFormat="1" ht="14.25" customHeight="1">
      <c r="A111" s="108"/>
      <c r="B111" s="275" t="s">
        <v>443</v>
      </c>
      <c r="C111" s="276"/>
      <c r="D111" s="739"/>
      <c r="E111" s="740"/>
      <c r="F111" s="235">
        <v>10</v>
      </c>
      <c r="G111" s="236"/>
      <c r="H111" s="209">
        <f>K111/2.2</f>
        <v>30.68181818181818</v>
      </c>
      <c r="I111" s="209"/>
      <c r="J111" s="209"/>
      <c r="K111" s="310">
        <v>67.5</v>
      </c>
      <c r="L111" s="311"/>
      <c r="M111" s="336"/>
    </row>
    <row r="112" spans="1:13" s="109" customFormat="1" ht="14.25" customHeight="1">
      <c r="A112" s="108"/>
      <c r="B112" s="275" t="s">
        <v>358</v>
      </c>
      <c r="C112" s="276"/>
      <c r="D112" s="739"/>
      <c r="E112" s="740"/>
      <c r="F112" s="235">
        <v>10</v>
      </c>
      <c r="G112" s="236"/>
      <c r="H112" s="209">
        <f>K112/2.2</f>
        <v>31.36363636363636</v>
      </c>
      <c r="I112" s="209"/>
      <c r="J112" s="209"/>
      <c r="K112" s="310">
        <v>69</v>
      </c>
      <c r="L112" s="311"/>
      <c r="M112" s="336"/>
    </row>
    <row r="113" spans="1:13" s="109" customFormat="1" ht="14.25" customHeight="1">
      <c r="A113" s="108"/>
      <c r="B113" s="275" t="s">
        <v>359</v>
      </c>
      <c r="C113" s="276"/>
      <c r="D113" s="739"/>
      <c r="E113" s="740"/>
      <c r="F113" s="334">
        <v>10</v>
      </c>
      <c r="G113" s="334"/>
      <c r="H113" s="209">
        <f t="shared" si="3"/>
        <v>31.36363636363636</v>
      </c>
      <c r="I113" s="209"/>
      <c r="J113" s="209"/>
      <c r="K113" s="209">
        <v>69</v>
      </c>
      <c r="L113" s="209"/>
      <c r="M113" s="335"/>
    </row>
    <row r="114" spans="1:13" s="109" customFormat="1" ht="14.25" customHeight="1">
      <c r="A114" s="108"/>
      <c r="B114" s="275" t="s">
        <v>360</v>
      </c>
      <c r="C114" s="276"/>
      <c r="D114" s="739"/>
      <c r="E114" s="740"/>
      <c r="F114" s="334">
        <v>10</v>
      </c>
      <c r="G114" s="334"/>
      <c r="H114" s="209">
        <f t="shared" si="3"/>
        <v>31.36363636363636</v>
      </c>
      <c r="I114" s="209"/>
      <c r="J114" s="209"/>
      <c r="K114" s="209">
        <v>69</v>
      </c>
      <c r="L114" s="209"/>
      <c r="M114" s="335"/>
    </row>
    <row r="115" spans="1:13" s="109" customFormat="1" ht="14.25" customHeight="1">
      <c r="A115" s="108"/>
      <c r="B115" s="275" t="s">
        <v>361</v>
      </c>
      <c r="C115" s="276"/>
      <c r="D115" s="739"/>
      <c r="E115" s="740"/>
      <c r="F115" s="235">
        <v>10</v>
      </c>
      <c r="G115" s="236"/>
      <c r="H115" s="209">
        <f>K115/2.2</f>
        <v>31.36363636363636</v>
      </c>
      <c r="I115" s="209"/>
      <c r="J115" s="209"/>
      <c r="K115" s="310">
        <v>69</v>
      </c>
      <c r="L115" s="311"/>
      <c r="M115" s="336"/>
    </row>
    <row r="116" spans="1:13" s="109" customFormat="1" ht="14.25" customHeight="1">
      <c r="A116" s="108"/>
      <c r="B116" s="275" t="s">
        <v>362</v>
      </c>
      <c r="C116" s="276"/>
      <c r="D116" s="739"/>
      <c r="E116" s="740"/>
      <c r="F116" s="334">
        <v>10</v>
      </c>
      <c r="G116" s="334"/>
      <c r="H116" s="209">
        <f t="shared" si="3"/>
        <v>36.47727272727273</v>
      </c>
      <c r="I116" s="209"/>
      <c r="J116" s="209"/>
      <c r="K116" s="209">
        <v>80.25</v>
      </c>
      <c r="L116" s="209"/>
      <c r="M116" s="335"/>
    </row>
    <row r="117" spans="1:13" s="109" customFormat="1" ht="14.25" customHeight="1">
      <c r="A117" s="108"/>
      <c r="B117" s="275" t="s">
        <v>363</v>
      </c>
      <c r="C117" s="276"/>
      <c r="D117" s="739"/>
      <c r="E117" s="740"/>
      <c r="F117" s="334">
        <v>10</v>
      </c>
      <c r="G117" s="334"/>
      <c r="H117" s="209">
        <f t="shared" si="3"/>
        <v>36.47727272727273</v>
      </c>
      <c r="I117" s="209"/>
      <c r="J117" s="209"/>
      <c r="K117" s="209">
        <v>80.25</v>
      </c>
      <c r="L117" s="209"/>
      <c r="M117" s="335"/>
    </row>
    <row r="118" spans="2:13" s="97" customFormat="1" ht="14.25" customHeight="1">
      <c r="B118" s="275" t="s">
        <v>364</v>
      </c>
      <c r="C118" s="276"/>
      <c r="D118" s="739"/>
      <c r="E118" s="740"/>
      <c r="F118" s="334">
        <v>10</v>
      </c>
      <c r="G118" s="334"/>
      <c r="H118" s="209">
        <f t="shared" si="3"/>
        <v>40.90909090909091</v>
      </c>
      <c r="I118" s="209"/>
      <c r="J118" s="209"/>
      <c r="K118" s="209">
        <v>90</v>
      </c>
      <c r="L118" s="209"/>
      <c r="M118" s="335"/>
    </row>
    <row r="119" spans="2:13" s="97" customFormat="1" ht="14.25" customHeight="1">
      <c r="B119" s="275" t="s">
        <v>365</v>
      </c>
      <c r="C119" s="276"/>
      <c r="D119" s="739"/>
      <c r="E119" s="740"/>
      <c r="F119" s="334">
        <v>10</v>
      </c>
      <c r="G119" s="334"/>
      <c r="H119" s="209">
        <f t="shared" si="3"/>
        <v>40.90909090909091</v>
      </c>
      <c r="I119" s="209"/>
      <c r="J119" s="209"/>
      <c r="K119" s="209">
        <v>90</v>
      </c>
      <c r="L119" s="209"/>
      <c r="M119" s="335"/>
    </row>
    <row r="120" spans="2:13" s="97" customFormat="1" ht="14.25" customHeight="1">
      <c r="B120" s="275" t="s">
        <v>366</v>
      </c>
      <c r="C120" s="276"/>
      <c r="D120" s="739"/>
      <c r="E120" s="740"/>
      <c r="F120" s="235">
        <v>10</v>
      </c>
      <c r="G120" s="236"/>
      <c r="H120" s="310">
        <f>K120/2.2</f>
        <v>44.99999999999999</v>
      </c>
      <c r="I120" s="311"/>
      <c r="J120" s="312"/>
      <c r="K120" s="310">
        <v>99</v>
      </c>
      <c r="L120" s="311"/>
      <c r="M120" s="336"/>
    </row>
    <row r="121" spans="2:13" s="97" customFormat="1" ht="14.25" customHeight="1">
      <c r="B121" s="337" t="s">
        <v>204</v>
      </c>
      <c r="C121" s="338"/>
      <c r="D121" s="739"/>
      <c r="E121" s="740"/>
      <c r="F121" s="334">
        <v>10</v>
      </c>
      <c r="G121" s="334"/>
      <c r="H121" s="310">
        <f>K121/2.2</f>
        <v>23.627272727272725</v>
      </c>
      <c r="I121" s="311"/>
      <c r="J121" s="312"/>
      <c r="K121" s="209">
        <v>51.98</v>
      </c>
      <c r="L121" s="209"/>
      <c r="M121" s="335"/>
    </row>
    <row r="122" spans="2:13" s="97" customFormat="1" ht="14.25" customHeight="1">
      <c r="B122" s="275" t="s">
        <v>202</v>
      </c>
      <c r="C122" s="276"/>
      <c r="D122" s="739"/>
      <c r="E122" s="740"/>
      <c r="F122" s="334">
        <v>10</v>
      </c>
      <c r="G122" s="334"/>
      <c r="H122" s="209">
        <f t="shared" si="3"/>
        <v>25.159090909090907</v>
      </c>
      <c r="I122" s="209"/>
      <c r="J122" s="209"/>
      <c r="K122" s="209">
        <v>55.35</v>
      </c>
      <c r="L122" s="209"/>
      <c r="M122" s="335"/>
    </row>
    <row r="123" spans="2:13" s="97" customFormat="1" ht="14.25" customHeight="1">
      <c r="B123" s="275" t="s">
        <v>203</v>
      </c>
      <c r="C123" s="276"/>
      <c r="D123" s="739"/>
      <c r="E123" s="740"/>
      <c r="F123" s="334">
        <v>10</v>
      </c>
      <c r="G123" s="334"/>
      <c r="H123" s="209">
        <f t="shared" si="3"/>
        <v>25.159090909090907</v>
      </c>
      <c r="I123" s="209"/>
      <c r="J123" s="209"/>
      <c r="K123" s="209">
        <v>55.35</v>
      </c>
      <c r="L123" s="209"/>
      <c r="M123" s="335"/>
    </row>
    <row r="124" spans="2:13" s="97" customFormat="1" ht="14.25" customHeight="1">
      <c r="B124" s="275" t="s">
        <v>199</v>
      </c>
      <c r="C124" s="276"/>
      <c r="D124" s="739"/>
      <c r="E124" s="740"/>
      <c r="F124" s="334">
        <v>10</v>
      </c>
      <c r="G124" s="334"/>
      <c r="H124" s="209">
        <f t="shared" si="3"/>
        <v>28.227272727272727</v>
      </c>
      <c r="I124" s="209"/>
      <c r="J124" s="209"/>
      <c r="K124" s="209">
        <v>62.1</v>
      </c>
      <c r="L124" s="209"/>
      <c r="M124" s="335"/>
    </row>
    <row r="125" spans="2:13" s="97" customFormat="1" ht="14.25" customHeight="1">
      <c r="B125" s="275" t="s">
        <v>200</v>
      </c>
      <c r="C125" s="276"/>
      <c r="D125" s="739"/>
      <c r="E125" s="740"/>
      <c r="F125" s="334">
        <v>10</v>
      </c>
      <c r="G125" s="334"/>
      <c r="H125" s="209">
        <f t="shared" si="3"/>
        <v>28.227272727272727</v>
      </c>
      <c r="I125" s="209"/>
      <c r="J125" s="209"/>
      <c r="K125" s="209">
        <v>62.1</v>
      </c>
      <c r="L125" s="209"/>
      <c r="M125" s="335"/>
    </row>
    <row r="126" spans="2:13" s="97" customFormat="1" ht="14.25" customHeight="1">
      <c r="B126" s="275" t="s">
        <v>201</v>
      </c>
      <c r="C126" s="276"/>
      <c r="D126" s="739"/>
      <c r="E126" s="740"/>
      <c r="F126" s="334">
        <v>10</v>
      </c>
      <c r="G126" s="334"/>
      <c r="H126" s="209">
        <f t="shared" si="3"/>
        <v>28.227272727272727</v>
      </c>
      <c r="I126" s="209"/>
      <c r="J126" s="209"/>
      <c r="K126" s="209">
        <v>62.1</v>
      </c>
      <c r="L126" s="209"/>
      <c r="M126" s="335"/>
    </row>
    <row r="127" spans="2:13" s="97" customFormat="1" ht="14.25" customHeight="1">
      <c r="B127" s="275" t="s">
        <v>197</v>
      </c>
      <c r="C127" s="276"/>
      <c r="D127" s="739"/>
      <c r="E127" s="740"/>
      <c r="F127" s="334">
        <v>10</v>
      </c>
      <c r="G127" s="334"/>
      <c r="H127" s="209">
        <f t="shared" si="3"/>
        <v>32.83181818181818</v>
      </c>
      <c r="I127" s="209"/>
      <c r="J127" s="209"/>
      <c r="K127" s="209">
        <v>72.23</v>
      </c>
      <c r="L127" s="209"/>
      <c r="M127" s="335"/>
    </row>
    <row r="128" spans="2:13" s="97" customFormat="1" ht="14.25" customHeight="1">
      <c r="B128" s="275" t="s">
        <v>198</v>
      </c>
      <c r="C128" s="276"/>
      <c r="D128" s="739"/>
      <c r="E128" s="740"/>
      <c r="F128" s="334">
        <v>10</v>
      </c>
      <c r="G128" s="334"/>
      <c r="H128" s="209">
        <f t="shared" si="3"/>
        <v>32.83181818181818</v>
      </c>
      <c r="I128" s="209"/>
      <c r="J128" s="209"/>
      <c r="K128" s="209">
        <v>72.23</v>
      </c>
      <c r="L128" s="209"/>
      <c r="M128" s="335"/>
    </row>
    <row r="129" spans="2:13" s="97" customFormat="1" ht="14.25" customHeight="1">
      <c r="B129" s="275" t="s">
        <v>195</v>
      </c>
      <c r="C129" s="276"/>
      <c r="D129" s="739"/>
      <c r="E129" s="740"/>
      <c r="F129" s="334">
        <v>10</v>
      </c>
      <c r="G129" s="334"/>
      <c r="H129" s="209">
        <f t="shared" si="3"/>
        <v>36.81818181818181</v>
      </c>
      <c r="I129" s="209"/>
      <c r="J129" s="209"/>
      <c r="K129" s="209">
        <v>81</v>
      </c>
      <c r="L129" s="209"/>
      <c r="M129" s="335"/>
    </row>
    <row r="130" spans="2:13" s="97" customFormat="1" ht="14.25" customHeight="1">
      <c r="B130" s="275" t="s">
        <v>196</v>
      </c>
      <c r="C130" s="276"/>
      <c r="D130" s="739"/>
      <c r="E130" s="740"/>
      <c r="F130" s="334">
        <v>10</v>
      </c>
      <c r="G130" s="334"/>
      <c r="H130" s="209">
        <f t="shared" si="3"/>
        <v>36.81818181818181</v>
      </c>
      <c r="I130" s="209"/>
      <c r="J130" s="209"/>
      <c r="K130" s="209">
        <v>81</v>
      </c>
      <c r="L130" s="209"/>
      <c r="M130" s="335"/>
    </row>
    <row r="131" spans="2:13" s="97" customFormat="1" ht="14.25" customHeight="1" thickBot="1">
      <c r="B131" s="237" t="s">
        <v>194</v>
      </c>
      <c r="C131" s="238"/>
      <c r="D131" s="328"/>
      <c r="E131" s="329"/>
      <c r="F131" s="332">
        <v>10</v>
      </c>
      <c r="G131" s="332"/>
      <c r="H131" s="234">
        <f t="shared" si="3"/>
        <v>40.49999999999999</v>
      </c>
      <c r="I131" s="234"/>
      <c r="J131" s="234"/>
      <c r="K131" s="234">
        <v>89.1</v>
      </c>
      <c r="L131" s="234"/>
      <c r="M131" s="333"/>
    </row>
    <row r="132" spans="2:13" s="97" customFormat="1" ht="14.25" customHeight="1">
      <c r="B132" s="324" t="s">
        <v>367</v>
      </c>
      <c r="C132" s="325"/>
      <c r="D132" s="326">
        <v>2</v>
      </c>
      <c r="E132" s="327"/>
      <c r="F132" s="330">
        <v>10</v>
      </c>
      <c r="G132" s="330"/>
      <c r="H132" s="290">
        <f>K132/2</f>
        <v>19.2</v>
      </c>
      <c r="I132" s="290"/>
      <c r="J132" s="290"/>
      <c r="K132" s="290">
        <v>38.4</v>
      </c>
      <c r="L132" s="290"/>
      <c r="M132" s="331"/>
    </row>
    <row r="133" spans="2:13" s="97" customFormat="1" ht="14.25" customHeight="1" thickBot="1">
      <c r="B133" s="237" t="s">
        <v>368</v>
      </c>
      <c r="C133" s="238"/>
      <c r="D133" s="328"/>
      <c r="E133" s="329"/>
      <c r="F133" s="332">
        <v>10</v>
      </c>
      <c r="G133" s="332"/>
      <c r="H133" s="234">
        <f>K133/2</f>
        <v>19.2</v>
      </c>
      <c r="I133" s="234"/>
      <c r="J133" s="234"/>
      <c r="K133" s="234">
        <v>38.4</v>
      </c>
      <c r="L133" s="234"/>
      <c r="M133" s="333"/>
    </row>
    <row r="134" spans="2:13" s="97" customFormat="1" ht="14.25" customHeight="1">
      <c r="B134" s="318" t="s">
        <v>367</v>
      </c>
      <c r="C134" s="319"/>
      <c r="D134" s="265">
        <v>2.5</v>
      </c>
      <c r="E134" s="266"/>
      <c r="F134" s="320">
        <v>10</v>
      </c>
      <c r="G134" s="321"/>
      <c r="H134" s="270">
        <f aca="true" t="shared" si="4" ref="H134:H141">K134/2.5</f>
        <v>19.2</v>
      </c>
      <c r="I134" s="270"/>
      <c r="J134" s="270"/>
      <c r="K134" s="271">
        <v>48</v>
      </c>
      <c r="L134" s="271"/>
      <c r="M134" s="272"/>
    </row>
    <row r="135" spans="2:13" s="97" customFormat="1" ht="14.25" customHeight="1">
      <c r="B135" s="275" t="s">
        <v>444</v>
      </c>
      <c r="C135" s="276"/>
      <c r="D135" s="265"/>
      <c r="E135" s="266"/>
      <c r="F135" s="316">
        <v>10</v>
      </c>
      <c r="G135" s="317"/>
      <c r="H135" s="209">
        <f>K135/2.5</f>
        <v>24</v>
      </c>
      <c r="I135" s="209"/>
      <c r="J135" s="209"/>
      <c r="K135" s="313">
        <v>60</v>
      </c>
      <c r="L135" s="314"/>
      <c r="M135" s="315"/>
    </row>
    <row r="136" spans="2:13" s="97" customFormat="1" ht="14.25" customHeight="1">
      <c r="B136" s="275" t="s">
        <v>368</v>
      </c>
      <c r="C136" s="276"/>
      <c r="D136" s="265"/>
      <c r="E136" s="266"/>
      <c r="F136" s="322">
        <v>10</v>
      </c>
      <c r="G136" s="323"/>
      <c r="H136" s="209">
        <f t="shared" si="4"/>
        <v>19.2</v>
      </c>
      <c r="I136" s="209"/>
      <c r="J136" s="209"/>
      <c r="K136" s="313">
        <v>48</v>
      </c>
      <c r="L136" s="314"/>
      <c r="M136" s="315"/>
    </row>
    <row r="137" spans="2:13" s="97" customFormat="1" ht="14.25" customHeight="1">
      <c r="B137" s="275" t="s">
        <v>369</v>
      </c>
      <c r="C137" s="276"/>
      <c r="D137" s="265"/>
      <c r="E137" s="266"/>
      <c r="F137" s="269">
        <v>10</v>
      </c>
      <c r="G137" s="269"/>
      <c r="H137" s="209">
        <f t="shared" si="4"/>
        <v>24</v>
      </c>
      <c r="I137" s="209"/>
      <c r="J137" s="209"/>
      <c r="K137" s="273">
        <v>60</v>
      </c>
      <c r="L137" s="273"/>
      <c r="M137" s="274"/>
    </row>
    <row r="138" spans="2:13" s="97" customFormat="1" ht="14.25" customHeight="1">
      <c r="B138" s="275" t="s">
        <v>370</v>
      </c>
      <c r="C138" s="276"/>
      <c r="D138" s="265"/>
      <c r="E138" s="266"/>
      <c r="F138" s="277">
        <v>10</v>
      </c>
      <c r="G138" s="277"/>
      <c r="H138" s="209">
        <f t="shared" si="4"/>
        <v>24</v>
      </c>
      <c r="I138" s="209"/>
      <c r="J138" s="209"/>
      <c r="K138" s="273">
        <v>60</v>
      </c>
      <c r="L138" s="273"/>
      <c r="M138" s="274"/>
    </row>
    <row r="139" spans="2:13" s="97" customFormat="1" ht="14.25" customHeight="1">
      <c r="B139" s="275" t="s">
        <v>371</v>
      </c>
      <c r="C139" s="276"/>
      <c r="D139" s="265"/>
      <c r="E139" s="266"/>
      <c r="F139" s="277">
        <v>10</v>
      </c>
      <c r="G139" s="277"/>
      <c r="H139" s="209">
        <f t="shared" si="4"/>
        <v>25.5</v>
      </c>
      <c r="I139" s="209"/>
      <c r="J139" s="209"/>
      <c r="K139" s="273">
        <v>63.75</v>
      </c>
      <c r="L139" s="273"/>
      <c r="M139" s="274"/>
    </row>
    <row r="140" spans="2:13" s="97" customFormat="1" ht="14.25" customHeight="1">
      <c r="B140" s="275" t="s">
        <v>477</v>
      </c>
      <c r="C140" s="276"/>
      <c r="D140" s="265"/>
      <c r="E140" s="266"/>
      <c r="F140" s="316">
        <v>10</v>
      </c>
      <c r="G140" s="317"/>
      <c r="H140" s="209">
        <f>K140/2.5</f>
        <v>28.2</v>
      </c>
      <c r="I140" s="209"/>
      <c r="J140" s="209"/>
      <c r="K140" s="313">
        <v>70.5</v>
      </c>
      <c r="L140" s="314"/>
      <c r="M140" s="315"/>
    </row>
    <row r="141" spans="2:13" s="97" customFormat="1" ht="14.25" customHeight="1">
      <c r="B141" s="300" t="s">
        <v>372</v>
      </c>
      <c r="C141" s="301"/>
      <c r="D141" s="265"/>
      <c r="E141" s="266"/>
      <c r="F141" s="221">
        <v>10</v>
      </c>
      <c r="G141" s="221"/>
      <c r="H141" s="280">
        <f t="shared" si="4"/>
        <v>28.2</v>
      </c>
      <c r="I141" s="280"/>
      <c r="J141" s="280"/>
      <c r="K141" s="278">
        <v>70.5</v>
      </c>
      <c r="L141" s="278"/>
      <c r="M141" s="279"/>
    </row>
    <row r="142" spans="2:13" s="97" customFormat="1" ht="14.25" customHeight="1">
      <c r="B142" s="263" t="s">
        <v>373</v>
      </c>
      <c r="C142" s="264"/>
      <c r="D142" s="265"/>
      <c r="E142" s="266"/>
      <c r="F142" s="316">
        <v>10</v>
      </c>
      <c r="G142" s="317"/>
      <c r="H142" s="310">
        <f aca="true" t="shared" si="5" ref="H142:H147">K142/2.5</f>
        <v>30</v>
      </c>
      <c r="I142" s="311"/>
      <c r="J142" s="312"/>
      <c r="K142" s="313">
        <v>75</v>
      </c>
      <c r="L142" s="314"/>
      <c r="M142" s="315"/>
    </row>
    <row r="143" spans="2:13" s="97" customFormat="1" ht="14.25" customHeight="1">
      <c r="B143" s="275" t="s">
        <v>374</v>
      </c>
      <c r="C143" s="276"/>
      <c r="D143" s="265"/>
      <c r="E143" s="266"/>
      <c r="F143" s="316">
        <v>10</v>
      </c>
      <c r="G143" s="317"/>
      <c r="H143" s="310">
        <f t="shared" si="5"/>
        <v>30</v>
      </c>
      <c r="I143" s="311"/>
      <c r="J143" s="312"/>
      <c r="K143" s="313">
        <v>75</v>
      </c>
      <c r="L143" s="314"/>
      <c r="M143" s="315"/>
    </row>
    <row r="144" spans="2:13" s="97" customFormat="1" ht="14.25" customHeight="1">
      <c r="B144" s="275" t="s">
        <v>478</v>
      </c>
      <c r="C144" s="276"/>
      <c r="D144" s="265"/>
      <c r="E144" s="266"/>
      <c r="F144" s="316">
        <v>10</v>
      </c>
      <c r="G144" s="317"/>
      <c r="H144" s="310">
        <f t="shared" si="5"/>
        <v>17.28</v>
      </c>
      <c r="I144" s="311"/>
      <c r="J144" s="312"/>
      <c r="K144" s="313">
        <v>43.2</v>
      </c>
      <c r="L144" s="314"/>
      <c r="M144" s="315"/>
    </row>
    <row r="145" spans="2:13" s="97" customFormat="1" ht="14.25" customHeight="1">
      <c r="B145" s="275" t="s">
        <v>479</v>
      </c>
      <c r="C145" s="276"/>
      <c r="D145" s="265"/>
      <c r="E145" s="266"/>
      <c r="F145" s="316">
        <v>10</v>
      </c>
      <c r="G145" s="317"/>
      <c r="H145" s="310">
        <f t="shared" si="5"/>
        <v>21.6</v>
      </c>
      <c r="I145" s="311"/>
      <c r="J145" s="312"/>
      <c r="K145" s="313">
        <v>54</v>
      </c>
      <c r="L145" s="314"/>
      <c r="M145" s="315"/>
    </row>
    <row r="146" spans="2:13" s="97" customFormat="1" ht="14.25" customHeight="1">
      <c r="B146" s="275" t="s">
        <v>480</v>
      </c>
      <c r="C146" s="276"/>
      <c r="D146" s="265"/>
      <c r="E146" s="266"/>
      <c r="F146" s="316">
        <v>10</v>
      </c>
      <c r="G146" s="317"/>
      <c r="H146" s="310">
        <f t="shared" si="5"/>
        <v>21.6</v>
      </c>
      <c r="I146" s="311"/>
      <c r="J146" s="312"/>
      <c r="K146" s="313">
        <v>54</v>
      </c>
      <c r="L146" s="314"/>
      <c r="M146" s="315"/>
    </row>
    <row r="147" spans="2:13" s="97" customFormat="1" ht="14.25" customHeight="1" thickBot="1">
      <c r="B147" s="300" t="s">
        <v>481</v>
      </c>
      <c r="C147" s="301"/>
      <c r="D147" s="267"/>
      <c r="E147" s="268"/>
      <c r="F147" s="302">
        <v>10</v>
      </c>
      <c r="G147" s="303"/>
      <c r="H147" s="304">
        <f t="shared" si="5"/>
        <v>25.380000000000003</v>
      </c>
      <c r="I147" s="305"/>
      <c r="J147" s="306"/>
      <c r="K147" s="307">
        <v>63.45</v>
      </c>
      <c r="L147" s="308"/>
      <c r="M147" s="309"/>
    </row>
    <row r="148" spans="2:13" s="97" customFormat="1" ht="14.25" customHeight="1" thickBot="1">
      <c r="B148" s="296" t="s">
        <v>375</v>
      </c>
      <c r="C148" s="297"/>
      <c r="D148" s="232">
        <v>2</v>
      </c>
      <c r="E148" s="232"/>
      <c r="F148" s="233">
        <v>20</v>
      </c>
      <c r="G148" s="233"/>
      <c r="H148" s="234">
        <f>K148/2</f>
        <v>9.75</v>
      </c>
      <c r="I148" s="234"/>
      <c r="J148" s="234"/>
      <c r="K148" s="298">
        <v>19.5</v>
      </c>
      <c r="L148" s="298"/>
      <c r="M148" s="299"/>
    </row>
    <row r="149" spans="2:13" s="97" customFormat="1" ht="14.25" customHeight="1" thickBot="1">
      <c r="B149" s="296" t="s">
        <v>376</v>
      </c>
      <c r="C149" s="297"/>
      <c r="D149" s="232">
        <v>2.2</v>
      </c>
      <c r="E149" s="232"/>
      <c r="F149" s="233">
        <v>20</v>
      </c>
      <c r="G149" s="233"/>
      <c r="H149" s="234">
        <v>9.75</v>
      </c>
      <c r="I149" s="234"/>
      <c r="J149" s="234"/>
      <c r="K149" s="298">
        <v>21.45</v>
      </c>
      <c r="L149" s="298"/>
      <c r="M149" s="299"/>
    </row>
    <row r="150" spans="2:13" s="97" customFormat="1" ht="14.25" customHeight="1">
      <c r="B150" s="285" t="s">
        <v>275</v>
      </c>
      <c r="C150" s="286"/>
      <c r="D150" s="291">
        <v>2</v>
      </c>
      <c r="E150" s="291"/>
      <c r="F150" s="289">
        <v>10</v>
      </c>
      <c r="G150" s="289"/>
      <c r="H150" s="290">
        <f>K150/2</f>
        <v>15.6</v>
      </c>
      <c r="I150" s="290"/>
      <c r="J150" s="290"/>
      <c r="K150" s="281">
        <v>31.2</v>
      </c>
      <c r="L150" s="281"/>
      <c r="M150" s="282"/>
    </row>
    <row r="151" spans="2:13" s="97" customFormat="1" ht="14.25" customHeight="1">
      <c r="B151" s="228" t="s">
        <v>377</v>
      </c>
      <c r="C151" s="229"/>
      <c r="D151" s="292"/>
      <c r="E151" s="292"/>
      <c r="F151" s="277">
        <v>10</v>
      </c>
      <c r="G151" s="277"/>
      <c r="H151" s="209">
        <f>K151/2</f>
        <v>16.8</v>
      </c>
      <c r="I151" s="209"/>
      <c r="J151" s="209"/>
      <c r="K151" s="273">
        <v>33.6</v>
      </c>
      <c r="L151" s="273"/>
      <c r="M151" s="274"/>
    </row>
    <row r="152" spans="2:13" s="97" customFormat="1" ht="14.25" customHeight="1" thickBot="1">
      <c r="B152" s="294" t="s">
        <v>378</v>
      </c>
      <c r="C152" s="295"/>
      <c r="D152" s="293"/>
      <c r="E152" s="293"/>
      <c r="F152" s="239">
        <v>10</v>
      </c>
      <c r="G152" s="239"/>
      <c r="H152" s="234">
        <f>K152/2</f>
        <v>16.8</v>
      </c>
      <c r="I152" s="234"/>
      <c r="J152" s="234"/>
      <c r="K152" s="261">
        <v>33.6</v>
      </c>
      <c r="L152" s="261"/>
      <c r="M152" s="262"/>
    </row>
    <row r="153" spans="2:13" s="97" customFormat="1" ht="14.25" customHeight="1">
      <c r="B153" s="285" t="s">
        <v>275</v>
      </c>
      <c r="C153" s="286"/>
      <c r="D153" s="287">
        <v>2.5</v>
      </c>
      <c r="E153" s="288"/>
      <c r="F153" s="289">
        <v>10</v>
      </c>
      <c r="G153" s="289"/>
      <c r="H153" s="290">
        <f>K153/2.5</f>
        <v>15.6</v>
      </c>
      <c r="I153" s="290"/>
      <c r="J153" s="290"/>
      <c r="K153" s="281">
        <v>39</v>
      </c>
      <c r="L153" s="281"/>
      <c r="M153" s="282"/>
    </row>
    <row r="154" spans="2:13" s="97" customFormat="1" ht="14.25" customHeight="1">
      <c r="B154" s="275" t="s">
        <v>379</v>
      </c>
      <c r="C154" s="276"/>
      <c r="D154" s="265"/>
      <c r="E154" s="266"/>
      <c r="F154" s="277">
        <v>10</v>
      </c>
      <c r="G154" s="277"/>
      <c r="H154" s="209">
        <f aca="true" t="shared" si="6" ref="H154:H165">K154/2.5</f>
        <v>15.6</v>
      </c>
      <c r="I154" s="209"/>
      <c r="J154" s="209"/>
      <c r="K154" s="273">
        <v>39</v>
      </c>
      <c r="L154" s="273"/>
      <c r="M154" s="274"/>
    </row>
    <row r="155" spans="2:13" s="97" customFormat="1" ht="14.25" customHeight="1">
      <c r="B155" s="275" t="s">
        <v>380</v>
      </c>
      <c r="C155" s="276"/>
      <c r="D155" s="265"/>
      <c r="E155" s="266"/>
      <c r="F155" s="277">
        <v>10</v>
      </c>
      <c r="G155" s="277"/>
      <c r="H155" s="209">
        <f t="shared" si="6"/>
        <v>15.6</v>
      </c>
      <c r="I155" s="209"/>
      <c r="J155" s="209"/>
      <c r="K155" s="273">
        <v>39</v>
      </c>
      <c r="L155" s="273"/>
      <c r="M155" s="274"/>
    </row>
    <row r="156" spans="2:13" s="97" customFormat="1" ht="14.25" customHeight="1">
      <c r="B156" s="228" t="s">
        <v>377</v>
      </c>
      <c r="C156" s="229"/>
      <c r="D156" s="265"/>
      <c r="E156" s="266"/>
      <c r="F156" s="277">
        <v>10</v>
      </c>
      <c r="G156" s="277"/>
      <c r="H156" s="209">
        <f t="shared" si="6"/>
        <v>16.8</v>
      </c>
      <c r="I156" s="209"/>
      <c r="J156" s="209"/>
      <c r="K156" s="273">
        <v>42</v>
      </c>
      <c r="L156" s="273"/>
      <c r="M156" s="274"/>
    </row>
    <row r="157" spans="2:13" ht="15">
      <c r="B157" s="228" t="s">
        <v>378</v>
      </c>
      <c r="C157" s="229"/>
      <c r="D157" s="265"/>
      <c r="E157" s="266"/>
      <c r="F157" s="277">
        <v>10</v>
      </c>
      <c r="G157" s="277"/>
      <c r="H157" s="209">
        <f t="shared" si="6"/>
        <v>16.8</v>
      </c>
      <c r="I157" s="209"/>
      <c r="J157" s="209"/>
      <c r="K157" s="273">
        <v>42</v>
      </c>
      <c r="L157" s="273"/>
      <c r="M157" s="274"/>
    </row>
    <row r="158" spans="2:13" ht="15.75" thickBot="1">
      <c r="B158" s="283" t="s">
        <v>381</v>
      </c>
      <c r="C158" s="284"/>
      <c r="D158" s="265"/>
      <c r="E158" s="266"/>
      <c r="F158" s="221">
        <v>10</v>
      </c>
      <c r="G158" s="221"/>
      <c r="H158" s="280">
        <f t="shared" si="6"/>
        <v>16.8</v>
      </c>
      <c r="I158" s="280"/>
      <c r="J158" s="280"/>
      <c r="K158" s="278">
        <v>42</v>
      </c>
      <c r="L158" s="278"/>
      <c r="M158" s="279"/>
    </row>
    <row r="159" spans="2:13" ht="15">
      <c r="B159" s="285" t="s">
        <v>383</v>
      </c>
      <c r="C159" s="286"/>
      <c r="D159" s="291">
        <v>2</v>
      </c>
      <c r="E159" s="291"/>
      <c r="F159" s="289">
        <v>10</v>
      </c>
      <c r="G159" s="289"/>
      <c r="H159" s="290">
        <f>K159/2</f>
        <v>24</v>
      </c>
      <c r="I159" s="290"/>
      <c r="J159" s="290"/>
      <c r="K159" s="281">
        <v>48</v>
      </c>
      <c r="L159" s="281"/>
      <c r="M159" s="282"/>
    </row>
    <row r="160" spans="2:13" ht="15">
      <c r="B160" s="275" t="s">
        <v>385</v>
      </c>
      <c r="C160" s="276"/>
      <c r="D160" s="292"/>
      <c r="E160" s="292"/>
      <c r="F160" s="277">
        <v>10</v>
      </c>
      <c r="G160" s="277"/>
      <c r="H160" s="209">
        <f>K160/2</f>
        <v>33</v>
      </c>
      <c r="I160" s="209"/>
      <c r="J160" s="209"/>
      <c r="K160" s="273">
        <v>66</v>
      </c>
      <c r="L160" s="273"/>
      <c r="M160" s="274"/>
    </row>
    <row r="161" spans="2:13" ht="15.75" thickBot="1">
      <c r="B161" s="237" t="s">
        <v>382</v>
      </c>
      <c r="C161" s="238"/>
      <c r="D161" s="293"/>
      <c r="E161" s="293"/>
      <c r="F161" s="239">
        <v>10</v>
      </c>
      <c r="G161" s="239"/>
      <c r="H161" s="234">
        <f>K161/2</f>
        <v>33</v>
      </c>
      <c r="I161" s="234"/>
      <c r="J161" s="234"/>
      <c r="K161" s="261">
        <v>66</v>
      </c>
      <c r="L161" s="261"/>
      <c r="M161" s="262"/>
    </row>
    <row r="162" spans="2:13" ht="15">
      <c r="B162" s="263" t="s">
        <v>383</v>
      </c>
      <c r="C162" s="264"/>
      <c r="D162" s="265">
        <v>2.5</v>
      </c>
      <c r="E162" s="266"/>
      <c r="F162" s="269">
        <v>10</v>
      </c>
      <c r="G162" s="269"/>
      <c r="H162" s="270">
        <f t="shared" si="6"/>
        <v>24</v>
      </c>
      <c r="I162" s="270"/>
      <c r="J162" s="270"/>
      <c r="K162" s="271">
        <v>60</v>
      </c>
      <c r="L162" s="271"/>
      <c r="M162" s="272"/>
    </row>
    <row r="163" spans="2:13" ht="15">
      <c r="B163" s="275" t="s">
        <v>384</v>
      </c>
      <c r="C163" s="276"/>
      <c r="D163" s="265"/>
      <c r="E163" s="266"/>
      <c r="F163" s="277">
        <v>10</v>
      </c>
      <c r="G163" s="277"/>
      <c r="H163" s="209">
        <f t="shared" si="6"/>
        <v>24</v>
      </c>
      <c r="I163" s="209"/>
      <c r="J163" s="209"/>
      <c r="K163" s="273">
        <v>60</v>
      </c>
      <c r="L163" s="273"/>
      <c r="M163" s="274"/>
    </row>
    <row r="164" spans="2:13" ht="15">
      <c r="B164" s="275" t="s">
        <v>382</v>
      </c>
      <c r="C164" s="276"/>
      <c r="D164" s="265"/>
      <c r="E164" s="266"/>
      <c r="F164" s="277">
        <v>10</v>
      </c>
      <c r="G164" s="277"/>
      <c r="H164" s="209">
        <f t="shared" si="6"/>
        <v>33</v>
      </c>
      <c r="I164" s="209"/>
      <c r="J164" s="209"/>
      <c r="K164" s="273">
        <v>82.5</v>
      </c>
      <c r="L164" s="273"/>
      <c r="M164" s="274"/>
    </row>
    <row r="165" spans="2:13" ht="15.75" thickBot="1">
      <c r="B165" s="237" t="s">
        <v>385</v>
      </c>
      <c r="C165" s="238"/>
      <c r="D165" s="267"/>
      <c r="E165" s="268"/>
      <c r="F165" s="239">
        <v>10</v>
      </c>
      <c r="G165" s="239"/>
      <c r="H165" s="234">
        <f t="shared" si="6"/>
        <v>33</v>
      </c>
      <c r="I165" s="234"/>
      <c r="J165" s="234"/>
      <c r="K165" s="261">
        <v>82.5</v>
      </c>
      <c r="L165" s="261"/>
      <c r="M165" s="262"/>
    </row>
    <row r="166" spans="2:13" ht="15.75" thickBot="1">
      <c r="B166" s="230" t="s">
        <v>386</v>
      </c>
      <c r="C166" s="231"/>
      <c r="D166" s="232" t="s">
        <v>445</v>
      </c>
      <c r="E166" s="232"/>
      <c r="F166" s="233">
        <v>50</v>
      </c>
      <c r="G166" s="233"/>
      <c r="H166" s="234">
        <v>6.3</v>
      </c>
      <c r="I166" s="234"/>
      <c r="J166" s="234"/>
      <c r="K166" s="298" t="s">
        <v>489</v>
      </c>
      <c r="L166" s="298"/>
      <c r="M166" s="299"/>
    </row>
    <row r="167" spans="2:13" ht="15.75" thickBot="1">
      <c r="B167" s="252" t="s">
        <v>387</v>
      </c>
      <c r="C167" s="253"/>
      <c r="D167" s="220">
        <v>2.5</v>
      </c>
      <c r="E167" s="220"/>
      <c r="F167" s="251">
        <v>25</v>
      </c>
      <c r="G167" s="251"/>
      <c r="H167" s="234">
        <f>K167/2.5</f>
        <v>8.4</v>
      </c>
      <c r="I167" s="234"/>
      <c r="J167" s="234"/>
      <c r="K167" s="254">
        <v>21</v>
      </c>
      <c r="L167" s="254"/>
      <c r="M167" s="255"/>
    </row>
    <row r="168" spans="2:13" ht="15.75" thickBot="1">
      <c r="B168" s="7"/>
      <c r="C168" s="7"/>
      <c r="D168" s="11"/>
      <c r="E168" s="11"/>
      <c r="F168" s="8"/>
      <c r="G168" s="8"/>
      <c r="H168" s="12"/>
      <c r="I168" s="12"/>
      <c r="J168" s="12"/>
      <c r="K168" s="12"/>
      <c r="L168" s="12"/>
      <c r="M168" s="12"/>
    </row>
    <row r="169" spans="2:13" ht="40.5" customHeight="1">
      <c r="B169" s="200" t="s">
        <v>139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2"/>
    </row>
    <row r="170" spans="2:13" ht="28.5">
      <c r="B170" s="181" t="s">
        <v>130</v>
      </c>
      <c r="C170" s="168"/>
      <c r="D170" s="168"/>
      <c r="E170" s="101" t="s">
        <v>416</v>
      </c>
      <c r="F170" s="168" t="s">
        <v>221</v>
      </c>
      <c r="G170" s="168"/>
      <c r="H170" s="168" t="s">
        <v>148</v>
      </c>
      <c r="I170" s="168"/>
      <c r="J170" s="168"/>
      <c r="K170" s="168" t="s">
        <v>149</v>
      </c>
      <c r="L170" s="168"/>
      <c r="M170" s="169"/>
    </row>
    <row r="171" spans="2:13" ht="15">
      <c r="B171" s="223" t="s">
        <v>497</v>
      </c>
      <c r="C171" s="224"/>
      <c r="D171" s="224"/>
      <c r="E171" s="151">
        <v>12</v>
      </c>
      <c r="F171" s="207">
        <v>13000</v>
      </c>
      <c r="G171" s="208"/>
      <c r="H171" s="257">
        <f>K171/2.1</f>
        <v>11.142857142857142</v>
      </c>
      <c r="I171" s="258"/>
      <c r="J171" s="260"/>
      <c r="K171" s="257">
        <f>0.02*0.045*2*F171</f>
        <v>23.4</v>
      </c>
      <c r="L171" s="258"/>
      <c r="M171" s="259"/>
    </row>
    <row r="172" spans="2:13" ht="15">
      <c r="B172" s="223" t="s">
        <v>299</v>
      </c>
      <c r="C172" s="224"/>
      <c r="D172" s="224"/>
      <c r="E172" s="72">
        <v>12</v>
      </c>
      <c r="F172" s="207">
        <v>13000</v>
      </c>
      <c r="G172" s="208"/>
      <c r="H172" s="257">
        <f>K172/2.1</f>
        <v>11.7</v>
      </c>
      <c r="I172" s="258"/>
      <c r="J172" s="260"/>
      <c r="K172" s="257">
        <f>0.02*0.045*2.1*F172</f>
        <v>24.57</v>
      </c>
      <c r="L172" s="258"/>
      <c r="M172" s="259"/>
    </row>
    <row r="173" spans="2:13" ht="15">
      <c r="B173" s="223" t="s">
        <v>140</v>
      </c>
      <c r="C173" s="224"/>
      <c r="D173" s="224"/>
      <c r="E173" s="55">
        <v>12</v>
      </c>
      <c r="F173" s="207">
        <v>13000</v>
      </c>
      <c r="G173" s="208"/>
      <c r="H173" s="257">
        <f>K173/2.4</f>
        <v>11.700000000000001</v>
      </c>
      <c r="I173" s="258"/>
      <c r="J173" s="260"/>
      <c r="K173" s="257">
        <f>0.02*0.045*2.4*F173</f>
        <v>28.080000000000002</v>
      </c>
      <c r="L173" s="258"/>
      <c r="M173" s="259"/>
    </row>
    <row r="174" spans="2:13" ht="15">
      <c r="B174" s="223" t="s">
        <v>453</v>
      </c>
      <c r="C174" s="224"/>
      <c r="D174" s="224"/>
      <c r="E174" s="55">
        <v>12</v>
      </c>
      <c r="F174" s="207">
        <v>13000</v>
      </c>
      <c r="G174" s="208"/>
      <c r="H174" s="257">
        <f>K174/2.5</f>
        <v>11.7</v>
      </c>
      <c r="I174" s="258"/>
      <c r="J174" s="260"/>
      <c r="K174" s="257">
        <f>0.02*0.045*2.5*F174</f>
        <v>29.249999999999996</v>
      </c>
      <c r="L174" s="258"/>
      <c r="M174" s="259"/>
    </row>
    <row r="175" spans="2:13" ht="15">
      <c r="B175" s="223" t="s">
        <v>388</v>
      </c>
      <c r="C175" s="224"/>
      <c r="D175" s="224"/>
      <c r="E175" s="55">
        <v>12</v>
      </c>
      <c r="F175" s="207">
        <v>13000</v>
      </c>
      <c r="G175" s="208"/>
      <c r="H175" s="257">
        <f>K175/2.7</f>
        <v>11.700000000000001</v>
      </c>
      <c r="I175" s="258"/>
      <c r="J175" s="260"/>
      <c r="K175" s="257">
        <f>0.02*0.045*2.7*F175</f>
        <v>31.590000000000003</v>
      </c>
      <c r="L175" s="258"/>
      <c r="M175" s="259"/>
    </row>
    <row r="176" spans="2:13" ht="15">
      <c r="B176" s="205" t="s">
        <v>141</v>
      </c>
      <c r="C176" s="206"/>
      <c r="D176" s="206"/>
      <c r="E176" s="53">
        <v>12</v>
      </c>
      <c r="F176" s="207">
        <v>13000</v>
      </c>
      <c r="G176" s="208"/>
      <c r="H176" s="257">
        <f>K176/3</f>
        <v>11.700000000000001</v>
      </c>
      <c r="I176" s="258"/>
      <c r="J176" s="260"/>
      <c r="K176" s="257">
        <f>0.02*0.045*3*F176</f>
        <v>35.1</v>
      </c>
      <c r="L176" s="258"/>
      <c r="M176" s="259"/>
    </row>
    <row r="177" spans="2:13" ht="15">
      <c r="B177" s="205" t="s">
        <v>142</v>
      </c>
      <c r="C177" s="206"/>
      <c r="D177" s="206"/>
      <c r="E177" s="53">
        <v>1</v>
      </c>
      <c r="F177" s="474">
        <v>12500</v>
      </c>
      <c r="G177" s="474"/>
      <c r="H177" s="490">
        <v>15</v>
      </c>
      <c r="I177" s="490"/>
      <c r="J177" s="490"/>
      <c r="K177" s="490">
        <v>30</v>
      </c>
      <c r="L177" s="490"/>
      <c r="M177" s="564"/>
    </row>
    <row r="178" spans="2:13" ht="15">
      <c r="B178" s="205" t="s">
        <v>143</v>
      </c>
      <c r="C178" s="206"/>
      <c r="D178" s="206"/>
      <c r="E178" s="53">
        <v>1</v>
      </c>
      <c r="F178" s="474">
        <v>12500</v>
      </c>
      <c r="G178" s="474"/>
      <c r="H178" s="490">
        <v>15</v>
      </c>
      <c r="I178" s="490"/>
      <c r="J178" s="490"/>
      <c r="K178" s="490">
        <v>45</v>
      </c>
      <c r="L178" s="490"/>
      <c r="M178" s="564"/>
    </row>
    <row r="179" spans="2:13" ht="15">
      <c r="B179" s="205" t="s">
        <v>329</v>
      </c>
      <c r="C179" s="206"/>
      <c r="D179" s="206"/>
      <c r="E179" s="80">
        <v>1</v>
      </c>
      <c r="F179" s="562">
        <v>12500</v>
      </c>
      <c r="G179" s="563"/>
      <c r="H179" s="559">
        <v>15</v>
      </c>
      <c r="I179" s="560"/>
      <c r="J179" s="561"/>
      <c r="K179" s="559">
        <v>60</v>
      </c>
      <c r="L179" s="560"/>
      <c r="M179" s="565"/>
    </row>
    <row r="180" spans="2:13" ht="15">
      <c r="B180" s="205" t="s">
        <v>144</v>
      </c>
      <c r="C180" s="206"/>
      <c r="D180" s="206"/>
      <c r="E180" s="53">
        <v>1</v>
      </c>
      <c r="F180" s="474">
        <v>12500</v>
      </c>
      <c r="G180" s="474"/>
      <c r="H180" s="490">
        <v>20</v>
      </c>
      <c r="I180" s="490"/>
      <c r="J180" s="490"/>
      <c r="K180" s="490">
        <v>40</v>
      </c>
      <c r="L180" s="490"/>
      <c r="M180" s="564"/>
    </row>
    <row r="181" spans="2:13" ht="15">
      <c r="B181" s="205" t="s">
        <v>145</v>
      </c>
      <c r="C181" s="206"/>
      <c r="D181" s="206"/>
      <c r="E181" s="53">
        <v>1</v>
      </c>
      <c r="F181" s="474">
        <v>12500</v>
      </c>
      <c r="G181" s="474"/>
      <c r="H181" s="490">
        <v>20</v>
      </c>
      <c r="I181" s="490"/>
      <c r="J181" s="490"/>
      <c r="K181" s="490">
        <v>60</v>
      </c>
      <c r="L181" s="490"/>
      <c r="M181" s="564"/>
    </row>
    <row r="182" spans="2:13" ht="15">
      <c r="B182" s="205" t="s">
        <v>328</v>
      </c>
      <c r="C182" s="206"/>
      <c r="D182" s="206"/>
      <c r="E182" s="80">
        <v>1</v>
      </c>
      <c r="F182" s="562">
        <v>12500</v>
      </c>
      <c r="G182" s="563"/>
      <c r="H182" s="559">
        <v>20</v>
      </c>
      <c r="I182" s="560"/>
      <c r="J182" s="561"/>
      <c r="K182" s="559">
        <v>80</v>
      </c>
      <c r="L182" s="560"/>
      <c r="M182" s="565"/>
    </row>
    <row r="183" spans="2:13" ht="15">
      <c r="B183" s="205" t="s">
        <v>146</v>
      </c>
      <c r="C183" s="206"/>
      <c r="D183" s="206"/>
      <c r="E183" s="53">
        <v>1</v>
      </c>
      <c r="F183" s="474">
        <v>12500</v>
      </c>
      <c r="G183" s="474"/>
      <c r="H183" s="490">
        <v>25</v>
      </c>
      <c r="I183" s="490"/>
      <c r="J183" s="490"/>
      <c r="K183" s="490">
        <v>50</v>
      </c>
      <c r="L183" s="490"/>
      <c r="M183" s="564"/>
    </row>
    <row r="184" spans="2:13" ht="15">
      <c r="B184" s="205" t="s">
        <v>147</v>
      </c>
      <c r="C184" s="206"/>
      <c r="D184" s="206"/>
      <c r="E184" s="53">
        <v>1</v>
      </c>
      <c r="F184" s="474">
        <v>12500</v>
      </c>
      <c r="G184" s="474"/>
      <c r="H184" s="490">
        <v>25</v>
      </c>
      <c r="I184" s="490"/>
      <c r="J184" s="490"/>
      <c r="K184" s="490">
        <v>75</v>
      </c>
      <c r="L184" s="490"/>
      <c r="M184" s="564"/>
    </row>
    <row r="185" spans="2:13" ht="15">
      <c r="B185" s="205" t="s">
        <v>327</v>
      </c>
      <c r="C185" s="206"/>
      <c r="D185" s="206"/>
      <c r="E185" s="80">
        <v>1</v>
      </c>
      <c r="F185" s="562">
        <v>12500</v>
      </c>
      <c r="G185" s="563"/>
      <c r="H185" s="559">
        <v>25</v>
      </c>
      <c r="I185" s="560"/>
      <c r="J185" s="561"/>
      <c r="K185" s="559">
        <v>100</v>
      </c>
      <c r="L185" s="560"/>
      <c r="M185" s="565"/>
    </row>
    <row r="186" spans="2:13" ht="15">
      <c r="B186" s="556" t="s">
        <v>274</v>
      </c>
      <c r="C186" s="557"/>
      <c r="D186" s="558"/>
      <c r="E186" s="53">
        <v>1</v>
      </c>
      <c r="F186" s="474" t="s">
        <v>1</v>
      </c>
      <c r="G186" s="474"/>
      <c r="H186" s="490">
        <f>K186/2.1</f>
        <v>48.214285714285715</v>
      </c>
      <c r="I186" s="490"/>
      <c r="J186" s="490"/>
      <c r="K186" s="559">
        <v>101.25</v>
      </c>
      <c r="L186" s="560"/>
      <c r="M186" s="565"/>
    </row>
    <row r="187" spans="2:13" ht="15">
      <c r="B187" s="556" t="s">
        <v>276</v>
      </c>
      <c r="C187" s="557"/>
      <c r="D187" s="558"/>
      <c r="E187" s="59">
        <v>1</v>
      </c>
      <c r="F187" s="562" t="s">
        <v>1</v>
      </c>
      <c r="G187" s="563"/>
      <c r="H187" s="559">
        <f>K187/2.1</f>
        <v>51.42857142857142</v>
      </c>
      <c r="I187" s="560"/>
      <c r="J187" s="561"/>
      <c r="K187" s="559">
        <v>108</v>
      </c>
      <c r="L187" s="560"/>
      <c r="M187" s="565"/>
    </row>
    <row r="188" spans="2:13" ht="14.25" customHeight="1">
      <c r="B188" s="556" t="s">
        <v>294</v>
      </c>
      <c r="C188" s="557"/>
      <c r="D188" s="558"/>
      <c r="E188" s="53">
        <v>1</v>
      </c>
      <c r="F188" s="474" t="s">
        <v>1</v>
      </c>
      <c r="G188" s="474"/>
      <c r="H188" s="552">
        <f>K188/2.1</f>
        <v>83.57142857142857</v>
      </c>
      <c r="I188" s="552"/>
      <c r="J188" s="552"/>
      <c r="K188" s="342">
        <v>175.5</v>
      </c>
      <c r="L188" s="343"/>
      <c r="M188" s="344"/>
    </row>
    <row r="189" spans="2:13" ht="15.75" thickBot="1">
      <c r="B189" s="553" t="s">
        <v>295</v>
      </c>
      <c r="C189" s="554"/>
      <c r="D189" s="555"/>
      <c r="E189" s="54">
        <v>1</v>
      </c>
      <c r="F189" s="489" t="s">
        <v>1</v>
      </c>
      <c r="G189" s="489"/>
      <c r="H189" s="549">
        <f>K189/2.1</f>
        <v>98.35714285714286</v>
      </c>
      <c r="I189" s="549"/>
      <c r="J189" s="549"/>
      <c r="K189" s="449">
        <v>206.55</v>
      </c>
      <c r="L189" s="450"/>
      <c r="M189" s="451"/>
    </row>
    <row r="190" ht="6" customHeight="1" thickBot="1"/>
    <row r="191" spans="2:13" ht="39" customHeight="1">
      <c r="B191" s="446" t="s">
        <v>218</v>
      </c>
      <c r="C191" s="447"/>
      <c r="D191" s="447"/>
      <c r="E191" s="447"/>
      <c r="F191" s="447"/>
      <c r="G191" s="447"/>
      <c r="H191" s="447"/>
      <c r="I191" s="447"/>
      <c r="J191" s="447"/>
      <c r="K191" s="447"/>
      <c r="L191" s="447"/>
      <c r="M191" s="448"/>
    </row>
    <row r="192" spans="2:13" ht="15">
      <c r="B192" s="181" t="s">
        <v>130</v>
      </c>
      <c r="C192" s="168"/>
      <c r="D192" s="168" t="s">
        <v>125</v>
      </c>
      <c r="E192" s="168"/>
      <c r="F192" s="168" t="s">
        <v>126</v>
      </c>
      <c r="G192" s="168"/>
      <c r="H192" s="168" t="s">
        <v>149</v>
      </c>
      <c r="I192" s="168"/>
      <c r="J192" s="168"/>
      <c r="K192" s="168" t="s">
        <v>221</v>
      </c>
      <c r="L192" s="168"/>
      <c r="M192" s="169"/>
    </row>
    <row r="193" spans="2:13" ht="15">
      <c r="B193" s="543" t="s">
        <v>152</v>
      </c>
      <c r="C193" s="544"/>
      <c r="D193" s="207" t="s">
        <v>390</v>
      </c>
      <c r="E193" s="208"/>
      <c r="F193" s="550">
        <v>2</v>
      </c>
      <c r="G193" s="551"/>
      <c r="H193" s="257">
        <v>45.6</v>
      </c>
      <c r="I193" s="258"/>
      <c r="J193" s="260"/>
      <c r="K193" s="207">
        <v>12000</v>
      </c>
      <c r="L193" s="485"/>
      <c r="M193" s="536"/>
    </row>
    <row r="194" spans="2:13" ht="15">
      <c r="B194" s="543" t="s">
        <v>152</v>
      </c>
      <c r="C194" s="544"/>
      <c r="D194" s="483" t="s">
        <v>390</v>
      </c>
      <c r="E194" s="483"/>
      <c r="F194" s="545">
        <v>3</v>
      </c>
      <c r="G194" s="545"/>
      <c r="H194" s="548">
        <v>68.4</v>
      </c>
      <c r="I194" s="548"/>
      <c r="J194" s="548"/>
      <c r="K194" s="483">
        <v>12000</v>
      </c>
      <c r="L194" s="483"/>
      <c r="M194" s="484"/>
    </row>
    <row r="195" spans="2:13" ht="15.75" thickBot="1">
      <c r="B195" s="546" t="s">
        <v>152</v>
      </c>
      <c r="C195" s="547"/>
      <c r="D195" s="542" t="s">
        <v>390</v>
      </c>
      <c r="E195" s="542"/>
      <c r="F195" s="741">
        <v>4</v>
      </c>
      <c r="G195" s="741"/>
      <c r="H195" s="742">
        <v>91.2</v>
      </c>
      <c r="I195" s="742"/>
      <c r="J195" s="742"/>
      <c r="K195" s="542">
        <v>12000</v>
      </c>
      <c r="L195" s="542"/>
      <c r="M195" s="710"/>
    </row>
    <row r="196" spans="2:13" ht="15.75" thickBot="1">
      <c r="B196" s="56"/>
      <c r="C196" s="56"/>
      <c r="D196" s="38"/>
      <c r="E196" s="38"/>
      <c r="F196" s="57"/>
      <c r="G196" s="57"/>
      <c r="H196" s="58"/>
      <c r="I196" s="58"/>
      <c r="J196" s="58"/>
      <c r="K196" s="38"/>
      <c r="L196" s="38"/>
      <c r="M196" s="38"/>
    </row>
    <row r="197" spans="2:13" ht="15">
      <c r="B197" s="530" t="s">
        <v>153</v>
      </c>
      <c r="C197" s="531"/>
      <c r="D197" s="531"/>
      <c r="E197" s="531"/>
      <c r="F197" s="531"/>
      <c r="G197" s="531"/>
      <c r="H197" s="531"/>
      <c r="I197" s="531"/>
      <c r="J197" s="531"/>
      <c r="K197" s="531"/>
      <c r="L197" s="531"/>
      <c r="M197" s="532"/>
    </row>
    <row r="198" spans="2:13" s="4" customFormat="1" ht="15" customHeight="1">
      <c r="B198" s="181" t="s">
        <v>130</v>
      </c>
      <c r="C198" s="168"/>
      <c r="D198" s="168" t="s">
        <v>125</v>
      </c>
      <c r="E198" s="168"/>
      <c r="F198" s="168" t="s">
        <v>126</v>
      </c>
      <c r="G198" s="168"/>
      <c r="H198" s="168" t="s">
        <v>149</v>
      </c>
      <c r="I198" s="168"/>
      <c r="J198" s="168"/>
      <c r="K198" s="168" t="s">
        <v>221</v>
      </c>
      <c r="L198" s="168"/>
      <c r="M198" s="169"/>
    </row>
    <row r="199" spans="2:13" s="4" customFormat="1" ht="15">
      <c r="B199" s="223" t="s">
        <v>9</v>
      </c>
      <c r="C199" s="224"/>
      <c r="D199" s="168" t="s">
        <v>154</v>
      </c>
      <c r="E199" s="168"/>
      <c r="F199" s="655">
        <v>3</v>
      </c>
      <c r="G199" s="655"/>
      <c r="H199" s="209">
        <f>0.025*0.1*3*K199</f>
        <v>51.75000000000001</v>
      </c>
      <c r="I199" s="209"/>
      <c r="J199" s="209"/>
      <c r="K199" s="168">
        <v>6900</v>
      </c>
      <c r="L199" s="168"/>
      <c r="M199" s="169"/>
    </row>
    <row r="200" spans="2:13" s="4" customFormat="1" ht="14.25" customHeight="1">
      <c r="B200" s="223" t="s">
        <v>9</v>
      </c>
      <c r="C200" s="224"/>
      <c r="D200" s="441" t="s">
        <v>155</v>
      </c>
      <c r="E200" s="441"/>
      <c r="F200" s="541">
        <v>3</v>
      </c>
      <c r="G200" s="541"/>
      <c r="H200" s="209">
        <f>0.025*0.15*3*K200</f>
        <v>77.625</v>
      </c>
      <c r="I200" s="209"/>
      <c r="J200" s="209"/>
      <c r="K200" s="168">
        <v>6900</v>
      </c>
      <c r="L200" s="168"/>
      <c r="M200" s="169"/>
    </row>
    <row r="201" spans="2:13" s="4" customFormat="1" ht="14.25" customHeight="1">
      <c r="B201" s="539" t="s">
        <v>463</v>
      </c>
      <c r="C201" s="540"/>
      <c r="D201" s="413" t="s">
        <v>154</v>
      </c>
      <c r="E201" s="415"/>
      <c r="F201" s="656">
        <v>6</v>
      </c>
      <c r="G201" s="657"/>
      <c r="H201" s="209">
        <f>0.025*0.1*6*K201</f>
        <v>75.00000000000001</v>
      </c>
      <c r="I201" s="209"/>
      <c r="J201" s="209"/>
      <c r="K201" s="207">
        <v>5000</v>
      </c>
      <c r="L201" s="485"/>
      <c r="M201" s="536"/>
    </row>
    <row r="202" spans="2:13" s="4" customFormat="1" ht="15">
      <c r="B202" s="539" t="s">
        <v>9</v>
      </c>
      <c r="C202" s="540"/>
      <c r="D202" s="413" t="s">
        <v>154</v>
      </c>
      <c r="E202" s="415"/>
      <c r="F202" s="656">
        <v>6</v>
      </c>
      <c r="G202" s="657"/>
      <c r="H202" s="209">
        <f>0.025*0.1*6*K202</f>
        <v>103.50000000000001</v>
      </c>
      <c r="I202" s="209"/>
      <c r="J202" s="209"/>
      <c r="K202" s="168">
        <v>6900</v>
      </c>
      <c r="L202" s="168"/>
      <c r="M202" s="169"/>
    </row>
    <row r="203" spans="2:13" s="4" customFormat="1" ht="16.5" customHeight="1">
      <c r="B203" s="539" t="s">
        <v>9</v>
      </c>
      <c r="C203" s="540"/>
      <c r="D203" s="413" t="s">
        <v>155</v>
      </c>
      <c r="E203" s="415"/>
      <c r="F203" s="656">
        <v>6</v>
      </c>
      <c r="G203" s="657"/>
      <c r="H203" s="209">
        <f>0.025*0.15*6*K203</f>
        <v>155.25</v>
      </c>
      <c r="I203" s="209"/>
      <c r="J203" s="209"/>
      <c r="K203" s="168">
        <v>6900</v>
      </c>
      <c r="L203" s="168"/>
      <c r="M203" s="169"/>
    </row>
    <row r="204" spans="2:13" s="4" customFormat="1" ht="15">
      <c r="B204" s="223" t="s">
        <v>9</v>
      </c>
      <c r="C204" s="224"/>
      <c r="D204" s="413" t="s">
        <v>277</v>
      </c>
      <c r="E204" s="415"/>
      <c r="F204" s="538">
        <v>6</v>
      </c>
      <c r="G204" s="538"/>
      <c r="H204" s="209">
        <f>0.04*0.1*6*K204</f>
        <v>165.6</v>
      </c>
      <c r="I204" s="209"/>
      <c r="J204" s="209"/>
      <c r="K204" s="168">
        <v>6900</v>
      </c>
      <c r="L204" s="168"/>
      <c r="M204" s="169"/>
    </row>
    <row r="205" spans="2:13" s="4" customFormat="1" ht="15">
      <c r="B205" s="223" t="s">
        <v>9</v>
      </c>
      <c r="C205" s="224"/>
      <c r="D205" s="413" t="s">
        <v>278</v>
      </c>
      <c r="E205" s="415"/>
      <c r="F205" s="538">
        <v>6</v>
      </c>
      <c r="G205" s="538"/>
      <c r="H205" s="209">
        <f>0.04*0.15*6*K205</f>
        <v>248.40000000000003</v>
      </c>
      <c r="I205" s="209"/>
      <c r="J205" s="209"/>
      <c r="K205" s="168">
        <v>6900</v>
      </c>
      <c r="L205" s="168"/>
      <c r="M205" s="169"/>
    </row>
    <row r="206" spans="2:13" s="4" customFormat="1" ht="14.25" customHeight="1">
      <c r="B206" s="205" t="s">
        <v>9</v>
      </c>
      <c r="C206" s="206"/>
      <c r="D206" s="167" t="s">
        <v>271</v>
      </c>
      <c r="E206" s="167"/>
      <c r="F206" s="538">
        <v>6</v>
      </c>
      <c r="G206" s="538"/>
      <c r="H206" s="209">
        <f>0.05*0.1*6*K206</f>
        <v>207.00000000000003</v>
      </c>
      <c r="I206" s="209"/>
      <c r="J206" s="209"/>
      <c r="K206" s="168">
        <v>6900</v>
      </c>
      <c r="L206" s="168"/>
      <c r="M206" s="169"/>
    </row>
    <row r="207" spans="2:13" s="4" customFormat="1" ht="14.25" customHeight="1">
      <c r="B207" s="205" t="s">
        <v>9</v>
      </c>
      <c r="C207" s="206"/>
      <c r="D207" s="167" t="s">
        <v>272</v>
      </c>
      <c r="E207" s="167"/>
      <c r="F207" s="538">
        <v>6</v>
      </c>
      <c r="G207" s="538"/>
      <c r="H207" s="209">
        <f>0.05*0.15*6*K207</f>
        <v>310.5</v>
      </c>
      <c r="I207" s="209"/>
      <c r="J207" s="209"/>
      <c r="K207" s="168">
        <v>6900</v>
      </c>
      <c r="L207" s="168"/>
      <c r="M207" s="169"/>
    </row>
    <row r="208" spans="2:13" s="4" customFormat="1" ht="14.25" customHeight="1">
      <c r="B208" s="223" t="s">
        <v>9</v>
      </c>
      <c r="C208" s="224"/>
      <c r="D208" s="441" t="s">
        <v>157</v>
      </c>
      <c r="E208" s="441"/>
      <c r="F208" s="541">
        <v>6</v>
      </c>
      <c r="G208" s="541"/>
      <c r="H208" s="209">
        <f>0.05*0.2*6*K208</f>
        <v>426.00000000000006</v>
      </c>
      <c r="I208" s="209"/>
      <c r="J208" s="209"/>
      <c r="K208" s="168">
        <v>7100</v>
      </c>
      <c r="L208" s="168"/>
      <c r="M208" s="169"/>
    </row>
    <row r="209" spans="2:13" s="4" customFormat="1" ht="13.5" customHeight="1">
      <c r="B209" s="223" t="s">
        <v>158</v>
      </c>
      <c r="C209" s="224"/>
      <c r="D209" s="441" t="s">
        <v>156</v>
      </c>
      <c r="E209" s="441"/>
      <c r="F209" s="541">
        <v>3</v>
      </c>
      <c r="G209" s="541"/>
      <c r="H209" s="209">
        <v>46.8</v>
      </c>
      <c r="I209" s="209"/>
      <c r="J209" s="209"/>
      <c r="K209" s="168">
        <v>7800</v>
      </c>
      <c r="L209" s="168"/>
      <c r="M209" s="169"/>
    </row>
    <row r="210" spans="2:13" s="4" customFormat="1" ht="13.5" customHeight="1">
      <c r="B210" s="205" t="s">
        <v>158</v>
      </c>
      <c r="C210" s="206"/>
      <c r="D210" s="167" t="s">
        <v>257</v>
      </c>
      <c r="E210" s="167"/>
      <c r="F210" s="538">
        <v>6</v>
      </c>
      <c r="G210" s="538"/>
      <c r="H210" s="310">
        <f>0.1*0.1*6*K210</f>
        <v>414.00000000000006</v>
      </c>
      <c r="I210" s="311"/>
      <c r="J210" s="312"/>
      <c r="K210" s="168">
        <v>6900</v>
      </c>
      <c r="L210" s="168"/>
      <c r="M210" s="169"/>
    </row>
    <row r="211" spans="2:13" s="4" customFormat="1" ht="13.5" customHeight="1">
      <c r="B211" s="205" t="s">
        <v>158</v>
      </c>
      <c r="C211" s="206"/>
      <c r="D211" s="167" t="s">
        <v>273</v>
      </c>
      <c r="E211" s="167"/>
      <c r="F211" s="538">
        <v>6</v>
      </c>
      <c r="G211" s="538"/>
      <c r="H211" s="209">
        <f>0.1*0.15*6*K211</f>
        <v>621</v>
      </c>
      <c r="I211" s="209"/>
      <c r="J211" s="209"/>
      <c r="K211" s="168">
        <v>6900</v>
      </c>
      <c r="L211" s="168"/>
      <c r="M211" s="169"/>
    </row>
    <row r="212" spans="2:13" s="4" customFormat="1" ht="13.5" customHeight="1" thickBot="1">
      <c r="B212" s="753" t="s">
        <v>158</v>
      </c>
      <c r="C212" s="754"/>
      <c r="D212" s="353" t="s">
        <v>258</v>
      </c>
      <c r="E212" s="353"/>
      <c r="F212" s="650">
        <v>6</v>
      </c>
      <c r="G212" s="650"/>
      <c r="H212" s="209">
        <f>0.15*0.15*6*K212</f>
        <v>931.5000000000001</v>
      </c>
      <c r="I212" s="209"/>
      <c r="J212" s="209"/>
      <c r="K212" s="428">
        <v>6900</v>
      </c>
      <c r="L212" s="428"/>
      <c r="M212" s="648"/>
    </row>
    <row r="213" spans="2:13" s="4" customFormat="1" ht="14.25" customHeight="1" thickBot="1">
      <c r="B213" s="81"/>
      <c r="C213" s="81"/>
      <c r="D213" s="82"/>
      <c r="E213" s="82"/>
      <c r="F213" s="83"/>
      <c r="G213" s="83"/>
      <c r="H213" s="84"/>
      <c r="I213" s="84"/>
      <c r="J213" s="84"/>
      <c r="K213" s="85"/>
      <c r="L213" s="85"/>
      <c r="M213" s="85"/>
    </row>
    <row r="214" spans="2:13" s="4" customFormat="1" ht="14.25" customHeight="1">
      <c r="B214" s="530" t="s">
        <v>160</v>
      </c>
      <c r="C214" s="531"/>
      <c r="D214" s="531"/>
      <c r="E214" s="531"/>
      <c r="F214" s="531"/>
      <c r="G214" s="531"/>
      <c r="H214" s="531"/>
      <c r="I214" s="531"/>
      <c r="J214" s="531"/>
      <c r="K214" s="531"/>
      <c r="L214" s="531"/>
      <c r="M214" s="532"/>
    </row>
    <row r="215" spans="2:13" s="4" customFormat="1" ht="14.25" customHeight="1">
      <c r="B215" s="181" t="s">
        <v>130</v>
      </c>
      <c r="C215" s="168"/>
      <c r="D215" s="168" t="s">
        <v>127</v>
      </c>
      <c r="E215" s="168" t="s">
        <v>113</v>
      </c>
      <c r="F215" s="168"/>
      <c r="G215" s="168"/>
      <c r="H215" s="168" t="s">
        <v>161</v>
      </c>
      <c r="I215" s="168"/>
      <c r="J215" s="458" t="s">
        <v>222</v>
      </c>
      <c r="K215" s="459"/>
      <c r="L215" s="459"/>
      <c r="M215" s="460"/>
    </row>
    <row r="216" spans="2:13" s="4" customFormat="1" ht="14.25" customHeight="1">
      <c r="B216" s="181"/>
      <c r="C216" s="168"/>
      <c r="D216" s="168"/>
      <c r="E216" s="168"/>
      <c r="F216" s="168"/>
      <c r="G216" s="168"/>
      <c r="H216" s="168"/>
      <c r="I216" s="168"/>
      <c r="J216" s="461"/>
      <c r="K216" s="462"/>
      <c r="L216" s="462"/>
      <c r="M216" s="463"/>
    </row>
    <row r="217" spans="2:13" s="4" customFormat="1" ht="13.5" customHeight="1">
      <c r="B217" s="224" t="s">
        <v>10</v>
      </c>
      <c r="C217" s="224"/>
      <c r="D217" s="172" t="s">
        <v>6</v>
      </c>
      <c r="E217" s="168" t="s">
        <v>428</v>
      </c>
      <c r="F217" s="168"/>
      <c r="G217" s="168"/>
      <c r="H217" s="213">
        <v>336</v>
      </c>
      <c r="I217" s="213"/>
      <c r="J217" s="746">
        <v>1400</v>
      </c>
      <c r="K217" s="747"/>
      <c r="L217" s="747"/>
      <c r="M217" s="748"/>
    </row>
    <row r="218" spans="2:17" s="4" customFormat="1" ht="13.5" customHeight="1">
      <c r="B218" s="224"/>
      <c r="C218" s="224"/>
      <c r="D218" s="172"/>
      <c r="E218" s="168" t="s">
        <v>499</v>
      </c>
      <c r="F218" s="168"/>
      <c r="G218" s="168"/>
      <c r="H218" s="213">
        <v>378</v>
      </c>
      <c r="I218" s="213"/>
      <c r="J218" s="744"/>
      <c r="K218" s="749"/>
      <c r="L218" s="749"/>
      <c r="M218" s="745"/>
      <c r="P218" s="146"/>
      <c r="Q218" s="146"/>
    </row>
    <row r="219" spans="2:17" s="4" customFormat="1" ht="14.25" customHeight="1">
      <c r="B219" s="224"/>
      <c r="C219" s="224"/>
      <c r="D219" s="172"/>
      <c r="E219" s="168" t="s">
        <v>163</v>
      </c>
      <c r="F219" s="168"/>
      <c r="G219" s="168"/>
      <c r="H219" s="213">
        <v>420</v>
      </c>
      <c r="I219" s="213"/>
      <c r="J219" s="744"/>
      <c r="K219" s="749"/>
      <c r="L219" s="749"/>
      <c r="M219" s="745"/>
      <c r="P219" s="146"/>
      <c r="Q219" s="146"/>
    </row>
    <row r="220" spans="2:17" s="4" customFormat="1" ht="14.25" customHeight="1">
      <c r="B220" s="224"/>
      <c r="C220" s="224"/>
      <c r="D220" s="172"/>
      <c r="E220" s="172" t="s">
        <v>164</v>
      </c>
      <c r="F220" s="172"/>
      <c r="G220" s="172"/>
      <c r="H220" s="466">
        <v>504</v>
      </c>
      <c r="I220" s="466"/>
      <c r="J220" s="744"/>
      <c r="K220" s="749"/>
      <c r="L220" s="749"/>
      <c r="M220" s="745"/>
      <c r="P220" s="146"/>
      <c r="Q220" s="146"/>
    </row>
    <row r="221" spans="2:17" s="4" customFormat="1" ht="14.25" customHeight="1">
      <c r="B221" s="224"/>
      <c r="C221" s="224"/>
      <c r="D221" s="172"/>
      <c r="E221" s="172" t="s">
        <v>485</v>
      </c>
      <c r="F221" s="172"/>
      <c r="G221" s="172"/>
      <c r="H221" s="213">
        <v>588</v>
      </c>
      <c r="I221" s="213"/>
      <c r="J221" s="744"/>
      <c r="K221" s="749"/>
      <c r="L221" s="749"/>
      <c r="M221" s="745"/>
      <c r="P221" s="146"/>
      <c r="Q221" s="146"/>
    </row>
    <row r="222" spans="2:17" s="4" customFormat="1" ht="14.25" customHeight="1">
      <c r="B222" s="224"/>
      <c r="C222" s="224"/>
      <c r="D222" s="172"/>
      <c r="E222" s="172" t="s">
        <v>500</v>
      </c>
      <c r="F222" s="172"/>
      <c r="G222" s="172"/>
      <c r="H222" s="213">
        <v>630</v>
      </c>
      <c r="I222" s="213"/>
      <c r="J222" s="744"/>
      <c r="K222" s="749"/>
      <c r="L222" s="749"/>
      <c r="M222" s="745"/>
      <c r="P222" s="146"/>
      <c r="Q222" s="146"/>
    </row>
    <row r="223" spans="2:17" s="4" customFormat="1" ht="15.75" thickBot="1">
      <c r="B223" s="224"/>
      <c r="C223" s="224"/>
      <c r="D223" s="154" t="s">
        <v>334</v>
      </c>
      <c r="E223" s="171" t="s">
        <v>521</v>
      </c>
      <c r="F223" s="171"/>
      <c r="G223" s="171"/>
      <c r="H223" s="755" t="s">
        <v>522</v>
      </c>
      <c r="I223" s="755"/>
      <c r="J223" s="750">
        <v>1097.22</v>
      </c>
      <c r="K223" s="751"/>
      <c r="L223" s="751"/>
      <c r="M223" s="752"/>
      <c r="P223" s="146"/>
      <c r="Q223" s="146"/>
    </row>
    <row r="224" spans="2:17" s="4" customFormat="1" ht="15">
      <c r="B224" s="224" t="s">
        <v>11</v>
      </c>
      <c r="C224" s="224"/>
      <c r="D224" s="482" t="s">
        <v>426</v>
      </c>
      <c r="E224" s="366" t="s">
        <v>165</v>
      </c>
      <c r="F224" s="366"/>
      <c r="G224" s="366"/>
      <c r="H224" s="629">
        <v>111.6</v>
      </c>
      <c r="I224" s="629"/>
      <c r="J224" s="370"/>
      <c r="K224" s="371"/>
      <c r="L224" s="371"/>
      <c r="M224" s="372"/>
      <c r="P224" s="146"/>
      <c r="Q224" s="146"/>
    </row>
    <row r="225" spans="2:17" s="4" customFormat="1" ht="15">
      <c r="B225" s="224"/>
      <c r="C225" s="224"/>
      <c r="D225" s="168"/>
      <c r="E225" s="172" t="s">
        <v>166</v>
      </c>
      <c r="F225" s="172"/>
      <c r="G225" s="172"/>
      <c r="H225" s="466">
        <v>133.92</v>
      </c>
      <c r="I225" s="466"/>
      <c r="J225" s="370"/>
      <c r="K225" s="371"/>
      <c r="L225" s="371"/>
      <c r="M225" s="372"/>
      <c r="P225" s="146"/>
      <c r="Q225" s="146"/>
    </row>
    <row r="226" spans="2:17" s="4" customFormat="1" ht="15">
      <c r="B226" s="224"/>
      <c r="C226" s="224"/>
      <c r="D226" s="168"/>
      <c r="E226" s="172" t="s">
        <v>167</v>
      </c>
      <c r="F226" s="172"/>
      <c r="G226" s="172"/>
      <c r="H226" s="466">
        <v>167.4</v>
      </c>
      <c r="I226" s="466"/>
      <c r="J226" s="370"/>
      <c r="K226" s="371"/>
      <c r="L226" s="371"/>
      <c r="M226" s="372"/>
      <c r="P226" s="146"/>
      <c r="Q226" s="146"/>
    </row>
    <row r="227" spans="2:17" s="4" customFormat="1" ht="14.25" customHeight="1">
      <c r="B227" s="223" t="s">
        <v>12</v>
      </c>
      <c r="C227" s="224"/>
      <c r="D227" s="172" t="s">
        <v>6</v>
      </c>
      <c r="E227" s="172" t="s">
        <v>168</v>
      </c>
      <c r="F227" s="172"/>
      <c r="G227" s="172"/>
      <c r="H227" s="466">
        <v>1565</v>
      </c>
      <c r="I227" s="466"/>
      <c r="J227" s="370"/>
      <c r="K227" s="371"/>
      <c r="L227" s="371"/>
      <c r="M227" s="372"/>
      <c r="P227" s="146"/>
      <c r="Q227" s="146"/>
    </row>
    <row r="228" spans="2:13" s="4" customFormat="1" ht="14.25" customHeight="1">
      <c r="B228" s="223"/>
      <c r="C228" s="224"/>
      <c r="D228" s="172"/>
      <c r="E228" s="172" t="s">
        <v>169</v>
      </c>
      <c r="F228" s="172"/>
      <c r="G228" s="172"/>
      <c r="H228" s="466">
        <v>2090</v>
      </c>
      <c r="I228" s="466"/>
      <c r="J228" s="370"/>
      <c r="K228" s="371"/>
      <c r="L228" s="371"/>
      <c r="M228" s="372"/>
    </row>
    <row r="229" spans="2:13" s="4" customFormat="1" ht="14.25" customHeight="1">
      <c r="B229" s="539" t="s">
        <v>12</v>
      </c>
      <c r="C229" s="540"/>
      <c r="D229" s="153" t="s">
        <v>6</v>
      </c>
      <c r="E229" s="172" t="s">
        <v>482</v>
      </c>
      <c r="F229" s="172"/>
      <c r="G229" s="172"/>
      <c r="H229" s="464">
        <v>1895</v>
      </c>
      <c r="I229" s="649"/>
      <c r="J229" s="370"/>
      <c r="K229" s="371"/>
      <c r="L229" s="371"/>
      <c r="M229" s="372"/>
    </row>
    <row r="230" spans="2:13" s="4" customFormat="1" ht="14.25" customHeight="1">
      <c r="B230" s="539" t="s">
        <v>429</v>
      </c>
      <c r="C230" s="540"/>
      <c r="D230" s="129" t="s">
        <v>6</v>
      </c>
      <c r="E230" s="588" t="s">
        <v>498</v>
      </c>
      <c r="F230" s="589"/>
      <c r="G230" s="590"/>
      <c r="H230" s="464" t="s">
        <v>512</v>
      </c>
      <c r="I230" s="649"/>
      <c r="J230" s="370"/>
      <c r="K230" s="371"/>
      <c r="L230" s="371"/>
      <c r="M230" s="372"/>
    </row>
    <row r="231" spans="2:13" s="4" customFormat="1" ht="14.25" customHeight="1">
      <c r="B231" s="223" t="s">
        <v>13</v>
      </c>
      <c r="C231" s="224"/>
      <c r="D231" s="143" t="s">
        <v>6</v>
      </c>
      <c r="E231" s="588" t="s">
        <v>501</v>
      </c>
      <c r="F231" s="589"/>
      <c r="G231" s="590"/>
      <c r="H231" s="466">
        <v>325</v>
      </c>
      <c r="I231" s="466"/>
      <c r="J231" s="370"/>
      <c r="K231" s="371"/>
      <c r="L231" s="371"/>
      <c r="M231" s="372"/>
    </row>
    <row r="232" spans="2:13" s="4" customFormat="1" ht="14.25" customHeight="1">
      <c r="B232" s="223" t="s">
        <v>13</v>
      </c>
      <c r="C232" s="224"/>
      <c r="D232" s="150" t="s">
        <v>6</v>
      </c>
      <c r="E232" s="588" t="s">
        <v>502</v>
      </c>
      <c r="F232" s="589"/>
      <c r="G232" s="590"/>
      <c r="H232" s="466" t="s">
        <v>513</v>
      </c>
      <c r="I232" s="466"/>
      <c r="J232" s="370"/>
      <c r="K232" s="371"/>
      <c r="L232" s="371"/>
      <c r="M232" s="372"/>
    </row>
    <row r="233" spans="2:13" s="4" customFormat="1" ht="14.25" customHeight="1">
      <c r="B233" s="223" t="s">
        <v>13</v>
      </c>
      <c r="C233" s="224"/>
      <c r="D233" s="150" t="s">
        <v>6</v>
      </c>
      <c r="E233" s="588" t="s">
        <v>503</v>
      </c>
      <c r="F233" s="589"/>
      <c r="G233" s="590"/>
      <c r="H233" s="466" t="s">
        <v>514</v>
      </c>
      <c r="I233" s="466"/>
      <c r="J233" s="370"/>
      <c r="K233" s="371"/>
      <c r="L233" s="371"/>
      <c r="M233" s="372"/>
    </row>
    <row r="234" spans="2:13" s="4" customFormat="1" ht="14.25" customHeight="1">
      <c r="B234" s="223" t="s">
        <v>13</v>
      </c>
      <c r="C234" s="224"/>
      <c r="D234" s="64" t="s">
        <v>6</v>
      </c>
      <c r="E234" s="172" t="s">
        <v>504</v>
      </c>
      <c r="F234" s="172"/>
      <c r="G234" s="172"/>
      <c r="H234" s="466" t="s">
        <v>515</v>
      </c>
      <c r="I234" s="466"/>
      <c r="J234" s="370"/>
      <c r="K234" s="371"/>
      <c r="L234" s="371"/>
      <c r="M234" s="372"/>
    </row>
    <row r="235" spans="2:13" s="4" customFormat="1" ht="14.25" customHeight="1">
      <c r="B235" s="539" t="s">
        <v>432</v>
      </c>
      <c r="C235" s="540"/>
      <c r="D235" s="129" t="s">
        <v>6</v>
      </c>
      <c r="E235" s="588" t="s">
        <v>430</v>
      </c>
      <c r="F235" s="589"/>
      <c r="G235" s="590"/>
      <c r="H235" s="464">
        <v>425</v>
      </c>
      <c r="I235" s="649"/>
      <c r="J235" s="370"/>
      <c r="K235" s="371"/>
      <c r="L235" s="371"/>
      <c r="M235" s="372"/>
    </row>
    <row r="236" spans="2:13" s="4" customFormat="1" ht="14.25" customHeight="1">
      <c r="B236" s="205" t="s">
        <v>431</v>
      </c>
      <c r="C236" s="206"/>
      <c r="D236" s="65" t="s">
        <v>6</v>
      </c>
      <c r="E236" s="168" t="s">
        <v>505</v>
      </c>
      <c r="F236" s="168"/>
      <c r="G236" s="168"/>
      <c r="H236" s="466" t="s">
        <v>516</v>
      </c>
      <c r="I236" s="466"/>
      <c r="J236" s="370"/>
      <c r="K236" s="371"/>
      <c r="L236" s="371"/>
      <c r="M236" s="372"/>
    </row>
    <row r="237" spans="2:13" ht="13.5" customHeight="1">
      <c r="B237" s="205" t="s">
        <v>524</v>
      </c>
      <c r="C237" s="206"/>
      <c r="D237" s="158" t="s">
        <v>6</v>
      </c>
      <c r="E237" s="168" t="s">
        <v>205</v>
      </c>
      <c r="F237" s="168"/>
      <c r="G237" s="168"/>
      <c r="H237" s="466">
        <v>490</v>
      </c>
      <c r="I237" s="466"/>
      <c r="J237" s="370"/>
      <c r="K237" s="371"/>
      <c r="L237" s="371"/>
      <c r="M237" s="372"/>
    </row>
    <row r="238" spans="2:13" s="4" customFormat="1" ht="15">
      <c r="B238" s="205" t="s">
        <v>15</v>
      </c>
      <c r="C238" s="206"/>
      <c r="D238" s="145" t="s">
        <v>483</v>
      </c>
      <c r="E238" s="168" t="s">
        <v>487</v>
      </c>
      <c r="F238" s="168"/>
      <c r="G238" s="168"/>
      <c r="H238" s="213" t="s">
        <v>508</v>
      </c>
      <c r="I238" s="213"/>
      <c r="J238" s="370"/>
      <c r="K238" s="371"/>
      <c r="L238" s="371"/>
      <c r="M238" s="372"/>
    </row>
    <row r="239" spans="2:13" s="4" customFormat="1" ht="15">
      <c r="B239" s="205" t="s">
        <v>14</v>
      </c>
      <c r="C239" s="206"/>
      <c r="D239" s="151" t="s">
        <v>6</v>
      </c>
      <c r="E239" s="207" t="s">
        <v>171</v>
      </c>
      <c r="F239" s="485"/>
      <c r="G239" s="208"/>
      <c r="H239" s="257">
        <v>2060</v>
      </c>
      <c r="I239" s="260"/>
      <c r="J239" s="370"/>
      <c r="K239" s="371"/>
      <c r="L239" s="371"/>
      <c r="M239" s="372"/>
    </row>
    <row r="240" spans="2:13" s="4" customFormat="1" ht="15">
      <c r="B240" s="205" t="s">
        <v>14</v>
      </c>
      <c r="C240" s="206"/>
      <c r="D240" s="65" t="s">
        <v>6</v>
      </c>
      <c r="E240" s="168" t="s">
        <v>206</v>
      </c>
      <c r="F240" s="168"/>
      <c r="G240" s="168"/>
      <c r="H240" s="466">
        <v>3550</v>
      </c>
      <c r="I240" s="466"/>
      <c r="J240" s="370"/>
      <c r="K240" s="371"/>
      <c r="L240" s="371"/>
      <c r="M240" s="372"/>
    </row>
    <row r="241" spans="2:13" s="4" customFormat="1" ht="15">
      <c r="B241" s="205" t="s">
        <v>427</v>
      </c>
      <c r="C241" s="206"/>
      <c r="D241" s="65" t="s">
        <v>6</v>
      </c>
      <c r="E241" s="168" t="s">
        <v>207</v>
      </c>
      <c r="F241" s="168"/>
      <c r="G241" s="168"/>
      <c r="H241" s="466">
        <v>75</v>
      </c>
      <c r="I241" s="466"/>
      <c r="J241" s="370"/>
      <c r="K241" s="371"/>
      <c r="L241" s="371"/>
      <c r="M241" s="372"/>
    </row>
    <row r="242" spans="2:13" s="4" customFormat="1" ht="15">
      <c r="B242" s="205" t="s">
        <v>427</v>
      </c>
      <c r="C242" s="206"/>
      <c r="D242" s="65" t="s">
        <v>6</v>
      </c>
      <c r="E242" s="168" t="s">
        <v>208</v>
      </c>
      <c r="F242" s="168"/>
      <c r="G242" s="168"/>
      <c r="H242" s="466">
        <v>90</v>
      </c>
      <c r="I242" s="466"/>
      <c r="J242" s="370"/>
      <c r="K242" s="371"/>
      <c r="L242" s="371"/>
      <c r="M242" s="372"/>
    </row>
    <row r="243" spans="2:13" s="4" customFormat="1" ht="15">
      <c r="B243" s="205" t="s">
        <v>523</v>
      </c>
      <c r="C243" s="206"/>
      <c r="D243" s="158" t="s">
        <v>6</v>
      </c>
      <c r="E243" s="168" t="s">
        <v>208</v>
      </c>
      <c r="F243" s="168"/>
      <c r="G243" s="168"/>
      <c r="H243" s="466">
        <v>100</v>
      </c>
      <c r="I243" s="466"/>
      <c r="J243" s="370"/>
      <c r="K243" s="371"/>
      <c r="L243" s="371"/>
      <c r="M243" s="372"/>
    </row>
    <row r="244" spans="2:13" s="4" customFormat="1" ht="15">
      <c r="B244" s="205" t="s">
        <v>525</v>
      </c>
      <c r="C244" s="206"/>
      <c r="D244" s="159" t="s">
        <v>334</v>
      </c>
      <c r="E244" s="168" t="s">
        <v>207</v>
      </c>
      <c r="F244" s="168"/>
      <c r="G244" s="168"/>
      <c r="H244" s="466">
        <v>70</v>
      </c>
      <c r="I244" s="466"/>
      <c r="J244" s="370"/>
      <c r="K244" s="371"/>
      <c r="L244" s="371"/>
      <c r="M244" s="372"/>
    </row>
    <row r="245" spans="2:13" s="4" customFormat="1" ht="15">
      <c r="B245" s="651" t="s">
        <v>484</v>
      </c>
      <c r="C245" s="652"/>
      <c r="D245" s="481" t="s">
        <v>483</v>
      </c>
      <c r="E245" s="168" t="s">
        <v>485</v>
      </c>
      <c r="F245" s="168"/>
      <c r="G245" s="168"/>
      <c r="H245" s="464">
        <v>578.76</v>
      </c>
      <c r="I245" s="649"/>
      <c r="J245" s="370"/>
      <c r="K245" s="371"/>
      <c r="L245" s="371"/>
      <c r="M245" s="372"/>
    </row>
    <row r="246" spans="2:16" s="4" customFormat="1" ht="15">
      <c r="B246" s="653"/>
      <c r="C246" s="654"/>
      <c r="D246" s="482"/>
      <c r="E246" s="168" t="s">
        <v>486</v>
      </c>
      <c r="F246" s="168"/>
      <c r="G246" s="168"/>
      <c r="H246" s="464">
        <v>661.44</v>
      </c>
      <c r="I246" s="649"/>
      <c r="J246" s="370"/>
      <c r="K246" s="371"/>
      <c r="L246" s="371"/>
      <c r="M246" s="372"/>
      <c r="P246" s="4" t="s">
        <v>492</v>
      </c>
    </row>
    <row r="247" spans="2:13" s="4" customFormat="1" ht="15">
      <c r="B247" s="223" t="s">
        <v>162</v>
      </c>
      <c r="C247" s="224"/>
      <c r="D247" s="127" t="s">
        <v>6</v>
      </c>
      <c r="E247" s="172" t="s">
        <v>171</v>
      </c>
      <c r="F247" s="172"/>
      <c r="G247" s="172"/>
      <c r="H247" s="466">
        <v>1030</v>
      </c>
      <c r="I247" s="466"/>
      <c r="J247" s="370"/>
      <c r="K247" s="371"/>
      <c r="L247" s="371"/>
      <c r="M247" s="372"/>
    </row>
    <row r="248" spans="2:13" s="4" customFormat="1" ht="15.75" thickBot="1">
      <c r="B248" s="242" t="s">
        <v>162</v>
      </c>
      <c r="C248" s="243"/>
      <c r="D248" s="128" t="s">
        <v>6</v>
      </c>
      <c r="E248" s="171" t="s">
        <v>172</v>
      </c>
      <c r="F248" s="171"/>
      <c r="G248" s="171"/>
      <c r="H248" s="174">
        <v>660</v>
      </c>
      <c r="I248" s="174"/>
      <c r="J248" s="373"/>
      <c r="K248" s="374"/>
      <c r="L248" s="374"/>
      <c r="M248" s="375"/>
    </row>
    <row r="249" spans="2:13" s="4" customFormat="1" ht="9" customHeight="1" thickBot="1">
      <c r="B249" s="70"/>
      <c r="C249" s="70"/>
      <c r="D249" s="70"/>
      <c r="E249" s="70"/>
      <c r="F249" s="71"/>
      <c r="G249" s="71"/>
      <c r="H249" s="6"/>
      <c r="I249" s="6"/>
      <c r="J249" s="6"/>
      <c r="K249" s="1"/>
      <c r="L249" s="1"/>
      <c r="M249" s="1"/>
    </row>
    <row r="250" spans="2:13" s="4" customFormat="1" ht="15">
      <c r="B250" s="530" t="s">
        <v>173</v>
      </c>
      <c r="C250" s="531"/>
      <c r="D250" s="531"/>
      <c r="E250" s="531"/>
      <c r="F250" s="531"/>
      <c r="G250" s="531"/>
      <c r="H250" s="531"/>
      <c r="I250" s="531"/>
      <c r="J250" s="531"/>
      <c r="K250" s="531"/>
      <c r="L250" s="531"/>
      <c r="M250" s="532"/>
    </row>
    <row r="251" spans="2:13" s="4" customFormat="1" ht="15">
      <c r="B251" s="683" t="s">
        <v>130</v>
      </c>
      <c r="C251" s="481" t="s">
        <v>174</v>
      </c>
      <c r="D251" s="168" t="s">
        <v>127</v>
      </c>
      <c r="E251" s="168"/>
      <c r="F251" s="441" t="s">
        <v>126</v>
      </c>
      <c r="G251" s="441"/>
      <c r="H251" s="441" t="s">
        <v>289</v>
      </c>
      <c r="I251" s="441"/>
      <c r="J251" s="379" t="s">
        <v>290</v>
      </c>
      <c r="K251" s="685"/>
      <c r="L251" s="379" t="s">
        <v>291</v>
      </c>
      <c r="M251" s="381"/>
    </row>
    <row r="252" spans="2:13" ht="15">
      <c r="B252" s="684"/>
      <c r="C252" s="482"/>
      <c r="D252" s="168"/>
      <c r="E252" s="168"/>
      <c r="F252" s="441"/>
      <c r="G252" s="441"/>
      <c r="H252" s="441"/>
      <c r="I252" s="441"/>
      <c r="J252" s="635"/>
      <c r="K252" s="686"/>
      <c r="L252" s="635"/>
      <c r="M252" s="636"/>
    </row>
    <row r="253" spans="2:13" ht="15">
      <c r="B253" s="721" t="s">
        <v>16</v>
      </c>
      <c r="C253" s="729">
        <v>18</v>
      </c>
      <c r="D253" s="727" t="s">
        <v>426</v>
      </c>
      <c r="E253" s="728"/>
      <c r="F253" s="441" t="s">
        <v>494</v>
      </c>
      <c r="G253" s="441"/>
      <c r="H253" s="727">
        <v>200</v>
      </c>
      <c r="I253" s="728"/>
      <c r="J253" s="730" t="s">
        <v>1</v>
      </c>
      <c r="K253" s="731"/>
      <c r="L253" s="466">
        <v>558</v>
      </c>
      <c r="M253" s="586"/>
    </row>
    <row r="254" spans="2:13" ht="15.75" thickBot="1">
      <c r="B254" s="722"/>
      <c r="C254" s="476"/>
      <c r="D254" s="687"/>
      <c r="E254" s="688"/>
      <c r="F254" s="435" t="s">
        <v>490</v>
      </c>
      <c r="G254" s="743"/>
      <c r="H254" s="435" t="s">
        <v>493</v>
      </c>
      <c r="I254" s="743"/>
      <c r="J254" s="732"/>
      <c r="K254" s="733"/>
      <c r="L254" s="174">
        <v>468</v>
      </c>
      <c r="M254" s="175"/>
    </row>
    <row r="255" spans="2:13" ht="15">
      <c r="B255" s="722"/>
      <c r="C255" s="646">
        <v>28</v>
      </c>
      <c r="D255" s="687"/>
      <c r="E255" s="688"/>
      <c r="F255" s="477" t="s">
        <v>490</v>
      </c>
      <c r="G255" s="478"/>
      <c r="H255" s="687" t="s">
        <v>491</v>
      </c>
      <c r="I255" s="688"/>
      <c r="J255" s="732"/>
      <c r="K255" s="733"/>
      <c r="L255" s="689">
        <v>786.24</v>
      </c>
      <c r="M255" s="690"/>
    </row>
    <row r="256" spans="2:13" ht="15.75" thickBot="1">
      <c r="B256" s="722"/>
      <c r="C256" s="476"/>
      <c r="D256" s="687"/>
      <c r="E256" s="688"/>
      <c r="F256" s="479"/>
      <c r="G256" s="480"/>
      <c r="H256" s="479"/>
      <c r="I256" s="480"/>
      <c r="J256" s="732"/>
      <c r="K256" s="733"/>
      <c r="L256" s="691"/>
      <c r="M256" s="692"/>
    </row>
    <row r="257" spans="2:13" ht="15">
      <c r="B257" s="722"/>
      <c r="C257" s="475">
        <v>40</v>
      </c>
      <c r="D257" s="687"/>
      <c r="E257" s="688"/>
      <c r="F257" s="687" t="s">
        <v>490</v>
      </c>
      <c r="G257" s="688"/>
      <c r="H257" s="687" t="s">
        <v>491</v>
      </c>
      <c r="I257" s="688"/>
      <c r="J257" s="732"/>
      <c r="K257" s="733"/>
      <c r="L257" s="744">
        <v>1123.2</v>
      </c>
      <c r="M257" s="745"/>
    </row>
    <row r="258" spans="2:13" ht="0.75" customHeight="1" thickBot="1">
      <c r="B258" s="722"/>
      <c r="C258" s="476"/>
      <c r="D258" s="479"/>
      <c r="E258" s="480"/>
      <c r="F258" s="479"/>
      <c r="G258" s="480"/>
      <c r="H258" s="479"/>
      <c r="I258" s="480"/>
      <c r="J258" s="732"/>
      <c r="K258" s="733"/>
      <c r="L258" s="691"/>
      <c r="M258" s="692"/>
    </row>
    <row r="259" spans="2:13" ht="15">
      <c r="B259" s="722"/>
      <c r="C259" s="646">
        <v>18</v>
      </c>
      <c r="D259" s="477" t="s">
        <v>460</v>
      </c>
      <c r="E259" s="478"/>
      <c r="F259" s="477" t="s">
        <v>490</v>
      </c>
      <c r="G259" s="478"/>
      <c r="H259" s="727" t="s">
        <v>491</v>
      </c>
      <c r="I259" s="728"/>
      <c r="J259" s="732"/>
      <c r="K259" s="733"/>
      <c r="L259" s="689">
        <v>643.5</v>
      </c>
      <c r="M259" s="690"/>
    </row>
    <row r="260" spans="2:13" ht="15.75" thickBot="1">
      <c r="B260" s="722"/>
      <c r="C260" s="476"/>
      <c r="D260" s="687"/>
      <c r="E260" s="688"/>
      <c r="F260" s="479"/>
      <c r="G260" s="480"/>
      <c r="H260" s="479"/>
      <c r="I260" s="480"/>
      <c r="J260" s="732"/>
      <c r="K260" s="733"/>
      <c r="L260" s="691"/>
      <c r="M260" s="692"/>
    </row>
    <row r="261" spans="2:13" ht="15">
      <c r="B261" s="722"/>
      <c r="C261" s="475">
        <v>40</v>
      </c>
      <c r="D261" s="687"/>
      <c r="E261" s="688"/>
      <c r="F261" s="687" t="s">
        <v>490</v>
      </c>
      <c r="G261" s="688"/>
      <c r="H261" s="727" t="s">
        <v>491</v>
      </c>
      <c r="I261" s="728"/>
      <c r="J261" s="732"/>
      <c r="K261" s="733"/>
      <c r="L261" s="744">
        <v>1378</v>
      </c>
      <c r="M261" s="745"/>
    </row>
    <row r="262" spans="2:13" ht="15.75" thickBot="1">
      <c r="B262" s="723"/>
      <c r="C262" s="476"/>
      <c r="D262" s="479"/>
      <c r="E262" s="480"/>
      <c r="F262" s="479"/>
      <c r="G262" s="480"/>
      <c r="H262" s="479"/>
      <c r="I262" s="480"/>
      <c r="J262" s="734"/>
      <c r="K262" s="735"/>
      <c r="L262" s="691"/>
      <c r="M262" s="692"/>
    </row>
    <row r="263" spans="2:13" ht="14.25" customHeight="1" thickBot="1">
      <c r="B263" s="89"/>
      <c r="C263" s="89"/>
      <c r="D263" s="45"/>
      <c r="E263" s="45"/>
      <c r="F263" s="89"/>
      <c r="G263" s="89"/>
      <c r="H263" s="89"/>
      <c r="I263" s="89"/>
      <c r="J263" s="89"/>
      <c r="K263" s="89"/>
      <c r="L263" s="89"/>
      <c r="M263" s="89"/>
    </row>
    <row r="264" spans="2:13" ht="15.75">
      <c r="B264" s="446" t="s">
        <v>254</v>
      </c>
      <c r="C264" s="447"/>
      <c r="D264" s="447"/>
      <c r="E264" s="447"/>
      <c r="F264" s="447"/>
      <c r="G264" s="447"/>
      <c r="H264" s="447"/>
      <c r="I264" s="447"/>
      <c r="J264" s="447"/>
      <c r="K264" s="447"/>
      <c r="L264" s="447"/>
      <c r="M264" s="448"/>
    </row>
    <row r="265" spans="2:13" ht="15">
      <c r="B265" s="181" t="s">
        <v>113</v>
      </c>
      <c r="C265" s="168"/>
      <c r="D265" s="168"/>
      <c r="E265" s="168" t="s">
        <v>223</v>
      </c>
      <c r="F265" s="168" t="s">
        <v>175</v>
      </c>
      <c r="G265" s="168" t="s">
        <v>176</v>
      </c>
      <c r="H265" s="168" t="s">
        <v>224</v>
      </c>
      <c r="I265" s="168"/>
      <c r="J265" s="168" t="s">
        <v>225</v>
      </c>
      <c r="K265" s="168"/>
      <c r="L265" s="458" t="s">
        <v>177</v>
      </c>
      <c r="M265" s="460"/>
    </row>
    <row r="266" spans="2:13" ht="15">
      <c r="B266" s="181"/>
      <c r="C266" s="168"/>
      <c r="D266" s="168"/>
      <c r="E266" s="168"/>
      <c r="F266" s="168"/>
      <c r="G266" s="168"/>
      <c r="H266" s="168"/>
      <c r="I266" s="168"/>
      <c r="J266" s="168"/>
      <c r="K266" s="168"/>
      <c r="L266" s="461"/>
      <c r="M266" s="463"/>
    </row>
    <row r="267" spans="2:13" ht="15">
      <c r="B267" s="602" t="s">
        <v>332</v>
      </c>
      <c r="C267" s="172"/>
      <c r="D267" s="172"/>
      <c r="E267" s="160">
        <v>3.125</v>
      </c>
      <c r="F267" s="160">
        <v>18</v>
      </c>
      <c r="G267" s="160">
        <v>75</v>
      </c>
      <c r="H267" s="352">
        <v>19946.3</v>
      </c>
      <c r="I267" s="352"/>
      <c r="J267" s="466">
        <v>179.52</v>
      </c>
      <c r="K267" s="466"/>
      <c r="L267" s="464">
        <v>561</v>
      </c>
      <c r="M267" s="465"/>
    </row>
    <row r="268" spans="2:13" s="4" customFormat="1" ht="15.75" thickBot="1">
      <c r="B268" s="170" t="s">
        <v>333</v>
      </c>
      <c r="C268" s="171"/>
      <c r="D268" s="171"/>
      <c r="E268" s="162">
        <v>3.125</v>
      </c>
      <c r="F268" s="162">
        <v>21</v>
      </c>
      <c r="G268" s="162">
        <v>54</v>
      </c>
      <c r="H268" s="647">
        <v>20000.2</v>
      </c>
      <c r="I268" s="647"/>
      <c r="J268" s="174">
        <v>220</v>
      </c>
      <c r="K268" s="174"/>
      <c r="L268" s="703">
        <v>687.5</v>
      </c>
      <c r="M268" s="704"/>
    </row>
    <row r="269" spans="2:13" s="4" customFormat="1" ht="15.75" thickBot="1">
      <c r="B269" s="37"/>
      <c r="C269" s="37"/>
      <c r="D269" s="74"/>
      <c r="E269" s="74"/>
      <c r="F269" s="75"/>
      <c r="G269" s="75"/>
      <c r="H269" s="32"/>
      <c r="I269" s="32"/>
      <c r="J269" s="32"/>
      <c r="K269" s="45"/>
      <c r="L269" s="45"/>
      <c r="M269" s="45"/>
    </row>
    <row r="270" spans="2:13" s="4" customFormat="1" ht="30.75" customHeight="1">
      <c r="B270" s="640" t="s">
        <v>393</v>
      </c>
      <c r="C270" s="641"/>
      <c r="D270" s="641"/>
      <c r="E270" s="641"/>
      <c r="F270" s="641"/>
      <c r="G270" s="641"/>
      <c r="H270" s="641"/>
      <c r="I270" s="641"/>
      <c r="J270" s="641"/>
      <c r="K270" s="641"/>
      <c r="L270" s="641"/>
      <c r="M270" s="642"/>
    </row>
    <row r="271" spans="2:13" s="4" customFormat="1" ht="15">
      <c r="B271" s="204" t="s">
        <v>113</v>
      </c>
      <c r="C271" s="535" t="s">
        <v>341</v>
      </c>
      <c r="D271" s="535" t="s">
        <v>342</v>
      </c>
      <c r="E271" s="537" t="s">
        <v>394</v>
      </c>
      <c r="F271" s="203" t="s">
        <v>395</v>
      </c>
      <c r="G271" s="203"/>
      <c r="H271" s="203" t="s">
        <v>110</v>
      </c>
      <c r="I271" s="203"/>
      <c r="J271" s="203" t="s">
        <v>111</v>
      </c>
      <c r="K271" s="203"/>
      <c r="L271" s="203" t="s">
        <v>112</v>
      </c>
      <c r="M271" s="467"/>
    </row>
    <row r="272" spans="2:13" s="4" customFormat="1" ht="16.5">
      <c r="B272" s="204"/>
      <c r="C272" s="535"/>
      <c r="D272" s="535"/>
      <c r="E272" s="537"/>
      <c r="F272" s="130" t="s">
        <v>433</v>
      </c>
      <c r="G272" s="111" t="s">
        <v>343</v>
      </c>
      <c r="H272" s="130" t="s">
        <v>433</v>
      </c>
      <c r="I272" s="111" t="s">
        <v>343</v>
      </c>
      <c r="J272" s="130" t="s">
        <v>433</v>
      </c>
      <c r="K272" s="111" t="s">
        <v>343</v>
      </c>
      <c r="L272" s="130" t="s">
        <v>433</v>
      </c>
      <c r="M272" s="112" t="s">
        <v>343</v>
      </c>
    </row>
    <row r="273" spans="2:13" s="4" customFormat="1" ht="15">
      <c r="B273" s="113" t="s">
        <v>396</v>
      </c>
      <c r="C273" s="114">
        <v>6</v>
      </c>
      <c r="D273" s="115">
        <v>1.296</v>
      </c>
      <c r="E273" s="116">
        <v>0.0195</v>
      </c>
      <c r="F273" s="118">
        <f>58000*E273</f>
        <v>1131</v>
      </c>
      <c r="G273" s="118">
        <f>58000*0.014*0.086/0.08</f>
        <v>872.8999999999999</v>
      </c>
      <c r="H273" s="118">
        <f>45000*E273</f>
        <v>877.5</v>
      </c>
      <c r="I273" s="118">
        <f>45000*0.014*0.086/0.08</f>
        <v>677.2499999999999</v>
      </c>
      <c r="J273" s="118">
        <f>30000*E273</f>
        <v>585</v>
      </c>
      <c r="K273" s="118">
        <f>30000*0.014*0.086/0.08</f>
        <v>451.49999999999994</v>
      </c>
      <c r="L273" s="118">
        <f>20000*E273</f>
        <v>390</v>
      </c>
      <c r="M273" s="120">
        <f>20000*0.014*0.086/0.08</f>
        <v>301</v>
      </c>
    </row>
    <row r="274" spans="2:13" s="4" customFormat="1" ht="15">
      <c r="B274" s="113" t="s">
        <v>397</v>
      </c>
      <c r="C274" s="114">
        <v>6</v>
      </c>
      <c r="D274" s="115">
        <v>1.44</v>
      </c>
      <c r="E274" s="116">
        <v>0.021672</v>
      </c>
      <c r="F274" s="118">
        <f>58000*E274</f>
        <v>1256.976</v>
      </c>
      <c r="G274" s="118">
        <f>58000*0.014*0.086/0.08</f>
        <v>872.8999999999999</v>
      </c>
      <c r="H274" s="118">
        <f>45000*E274</f>
        <v>975.24</v>
      </c>
      <c r="I274" s="118">
        <f>45000*0.014*0.086/0.08</f>
        <v>677.2499999999999</v>
      </c>
      <c r="J274" s="118">
        <f>30000*E274</f>
        <v>650.16</v>
      </c>
      <c r="K274" s="118">
        <f>30000*0.014*0.086/0.08</f>
        <v>451.49999999999994</v>
      </c>
      <c r="L274" s="118">
        <f>20000*E274</f>
        <v>433.44</v>
      </c>
      <c r="M274" s="120">
        <f>20000*0.014*0.086/0.08</f>
        <v>301</v>
      </c>
    </row>
    <row r="275" spans="2:13" s="4" customFormat="1" ht="15">
      <c r="B275" s="113" t="s">
        <v>398</v>
      </c>
      <c r="C275" s="114">
        <v>6</v>
      </c>
      <c r="D275" s="115">
        <v>1.92</v>
      </c>
      <c r="E275" s="116">
        <v>0.028896</v>
      </c>
      <c r="F275" s="118">
        <f>58000*E275</f>
        <v>1675.968</v>
      </c>
      <c r="G275" s="118">
        <f>58000*0.014*0.086/0.08</f>
        <v>872.8999999999999</v>
      </c>
      <c r="H275" s="118">
        <f>45000*E275</f>
        <v>1300.3200000000002</v>
      </c>
      <c r="I275" s="118">
        <f>45000*0.014*0.086/0.08</f>
        <v>677.2499999999999</v>
      </c>
      <c r="J275" s="118">
        <f>30000*E275</f>
        <v>866.88</v>
      </c>
      <c r="K275" s="118">
        <f>30000*0.014*0.086/0.08</f>
        <v>451.49999999999994</v>
      </c>
      <c r="L275" s="118">
        <f>20000*E275</f>
        <v>577.9200000000001</v>
      </c>
      <c r="M275" s="120">
        <f>20000*0.014*0.086/0.08</f>
        <v>301</v>
      </c>
    </row>
    <row r="276" spans="2:13" s="4" customFormat="1" ht="15.75" thickBot="1">
      <c r="B276" s="724" t="s">
        <v>467</v>
      </c>
      <c r="C276" s="725"/>
      <c r="D276" s="725"/>
      <c r="E276" s="726"/>
      <c r="F276" s="197">
        <v>58000</v>
      </c>
      <c r="G276" s="198"/>
      <c r="H276" s="197">
        <v>45000</v>
      </c>
      <c r="I276" s="198"/>
      <c r="J276" s="197">
        <v>30000</v>
      </c>
      <c r="K276" s="198"/>
      <c r="L276" s="197">
        <v>20000</v>
      </c>
      <c r="M276" s="199"/>
    </row>
    <row r="277" spans="2:13" s="4" customFormat="1" ht="15.75" thickBot="1">
      <c r="B277" s="121"/>
      <c r="C277" s="121"/>
      <c r="D277" s="122"/>
      <c r="E277" s="123"/>
      <c r="F277" s="133"/>
      <c r="G277" s="134"/>
      <c r="H277" s="133"/>
      <c r="I277" s="134"/>
      <c r="J277" s="133"/>
      <c r="K277" s="135"/>
      <c r="L277" s="133"/>
      <c r="M277" s="134"/>
    </row>
    <row r="278" spans="2:13" s="4" customFormat="1" ht="27.75" customHeight="1">
      <c r="B278" s="640" t="s">
        <v>188</v>
      </c>
      <c r="C278" s="641"/>
      <c r="D278" s="641"/>
      <c r="E278" s="641"/>
      <c r="F278" s="641"/>
      <c r="G278" s="641"/>
      <c r="H278" s="641"/>
      <c r="I278" s="641"/>
      <c r="J278" s="641"/>
      <c r="K278" s="641"/>
      <c r="L278" s="641"/>
      <c r="M278" s="642"/>
    </row>
    <row r="279" spans="2:13" s="4" customFormat="1" ht="30.75" customHeight="1">
      <c r="B279" s="204" t="s">
        <v>113</v>
      </c>
      <c r="C279" s="535" t="s">
        <v>341</v>
      </c>
      <c r="D279" s="535" t="s">
        <v>342</v>
      </c>
      <c r="E279" s="537" t="s">
        <v>394</v>
      </c>
      <c r="F279" s="203" t="s">
        <v>395</v>
      </c>
      <c r="G279" s="203"/>
      <c r="H279" s="203" t="s">
        <v>110</v>
      </c>
      <c r="I279" s="203"/>
      <c r="J279" s="203" t="s">
        <v>111</v>
      </c>
      <c r="K279" s="203"/>
      <c r="L279" s="203" t="s">
        <v>112</v>
      </c>
      <c r="M279" s="467"/>
    </row>
    <row r="280" spans="2:13" s="4" customFormat="1" ht="16.5">
      <c r="B280" s="204"/>
      <c r="C280" s="535"/>
      <c r="D280" s="535"/>
      <c r="E280" s="537"/>
      <c r="F280" s="130" t="s">
        <v>433</v>
      </c>
      <c r="G280" s="111" t="s">
        <v>343</v>
      </c>
      <c r="H280" s="130" t="s">
        <v>433</v>
      </c>
      <c r="I280" s="111" t="s">
        <v>343</v>
      </c>
      <c r="J280" s="130" t="s">
        <v>433</v>
      </c>
      <c r="K280" s="111" t="s">
        <v>343</v>
      </c>
      <c r="L280" s="130" t="s">
        <v>433</v>
      </c>
      <c r="M280" s="112" t="s">
        <v>343</v>
      </c>
    </row>
    <row r="281" spans="2:13" s="4" customFormat="1" ht="15">
      <c r="B281" s="113" t="s">
        <v>442</v>
      </c>
      <c r="C281" s="114">
        <v>6</v>
      </c>
      <c r="D281" s="115">
        <v>1.815</v>
      </c>
      <c r="E281" s="116">
        <v>0.026796</v>
      </c>
      <c r="F281" s="118">
        <f>60000*E281</f>
        <v>1607.76</v>
      </c>
      <c r="G281" s="118">
        <f>60000*0.014*0.116/0.11</f>
        <v>885.8181818181819</v>
      </c>
      <c r="H281" s="118">
        <f>45500*E281</f>
        <v>1219.218</v>
      </c>
      <c r="I281" s="118">
        <f>45500*0.014*0.116/0.11</f>
        <v>671.7454545454547</v>
      </c>
      <c r="J281" s="118">
        <f>31000*E281</f>
        <v>830.676</v>
      </c>
      <c r="K281" s="118">
        <f>31000*0.014*0.116/0.11</f>
        <v>457.6727272727273</v>
      </c>
      <c r="L281" s="118">
        <f>20000*E281</f>
        <v>535.92</v>
      </c>
      <c r="M281" s="120">
        <f>20000*0.014*0.116/0.11</f>
        <v>295.2727272727273</v>
      </c>
    </row>
    <row r="282" spans="2:13" s="4" customFormat="1" ht="15">
      <c r="B282" s="113" t="s">
        <v>400</v>
      </c>
      <c r="C282" s="114">
        <v>6</v>
      </c>
      <c r="D282" s="115">
        <v>1.98</v>
      </c>
      <c r="E282" s="116">
        <v>0.029232</v>
      </c>
      <c r="F282" s="118">
        <f>60000*E282</f>
        <v>1753.92</v>
      </c>
      <c r="G282" s="118">
        <f>60000*0.014*0.116/0.11</f>
        <v>885.8181818181819</v>
      </c>
      <c r="H282" s="118">
        <f>45500*E282</f>
        <v>1330.056</v>
      </c>
      <c r="I282" s="118">
        <f>45500*0.014*0.116/0.11</f>
        <v>671.7454545454547</v>
      </c>
      <c r="J282" s="118">
        <f>31000*E282</f>
        <v>906.192</v>
      </c>
      <c r="K282" s="118">
        <f>31000*0.014*0.116/0.11</f>
        <v>457.6727272727273</v>
      </c>
      <c r="L282" s="118">
        <f>20000*E282</f>
        <v>584.64</v>
      </c>
      <c r="M282" s="120">
        <f>20000*0.014*0.116/0.11</f>
        <v>295.2727272727273</v>
      </c>
    </row>
    <row r="283" spans="2:13" s="4" customFormat="1" ht="15">
      <c r="B283" s="113" t="s">
        <v>401</v>
      </c>
      <c r="C283" s="114">
        <v>6</v>
      </c>
      <c r="D283" s="115">
        <v>2.64</v>
      </c>
      <c r="E283" s="116">
        <v>0.038976</v>
      </c>
      <c r="F283" s="118">
        <f>60000*E283</f>
        <v>2338.56</v>
      </c>
      <c r="G283" s="118">
        <f>60000*0.014*0.116/0.11</f>
        <v>885.8181818181819</v>
      </c>
      <c r="H283" s="118">
        <f>45500*E283</f>
        <v>1773.408</v>
      </c>
      <c r="I283" s="118">
        <f>45500*0.014*0.116/0.11</f>
        <v>671.7454545454547</v>
      </c>
      <c r="J283" s="118">
        <f>31000*E283</f>
        <v>1208.2559999999999</v>
      </c>
      <c r="K283" s="118">
        <f>31000*0.014*0.116/0.11</f>
        <v>457.6727272727273</v>
      </c>
      <c r="L283" s="118">
        <f>20000*E283</f>
        <v>779.52</v>
      </c>
      <c r="M283" s="120">
        <f>20000*0.014*0.116/0.11</f>
        <v>295.2727272727273</v>
      </c>
    </row>
    <row r="284" spans="2:13" s="4" customFormat="1" ht="15">
      <c r="B284" s="113" t="s">
        <v>402</v>
      </c>
      <c r="C284" s="114">
        <v>6</v>
      </c>
      <c r="D284" s="115">
        <v>2.2356</v>
      </c>
      <c r="E284" s="116">
        <v>0.0326592</v>
      </c>
      <c r="F284" s="118">
        <f>70000*E284</f>
        <v>2286.144</v>
      </c>
      <c r="G284" s="118">
        <f>70000*0.014*0.144/0.138</f>
        <v>1022.6086956521737</v>
      </c>
      <c r="H284" s="118">
        <f>52000*E284</f>
        <v>1698.2784</v>
      </c>
      <c r="I284" s="118">
        <f>52000*0.014*0.144/0.138</f>
        <v>759.6521739130434</v>
      </c>
      <c r="J284" s="118">
        <f>38000*E284</f>
        <v>1241.0496</v>
      </c>
      <c r="K284" s="118">
        <f>38000*0.014*0.144/0.138</f>
        <v>555.1304347826086</v>
      </c>
      <c r="L284" s="118">
        <f>22500*E284</f>
        <v>734.832</v>
      </c>
      <c r="M284" s="120">
        <f>22500*0.014*0.144/0.138</f>
        <v>328.695652173913</v>
      </c>
    </row>
    <row r="285" spans="2:13" s="4" customFormat="1" ht="15">
      <c r="B285" s="113" t="s">
        <v>403</v>
      </c>
      <c r="C285" s="114">
        <v>6</v>
      </c>
      <c r="D285" s="115">
        <v>2.484</v>
      </c>
      <c r="E285" s="116">
        <v>0.036288</v>
      </c>
      <c r="F285" s="118">
        <f>70000*E285</f>
        <v>2540.16</v>
      </c>
      <c r="G285" s="118">
        <f>70000*0.014*0.144/0.138</f>
        <v>1022.6086956521737</v>
      </c>
      <c r="H285" s="118">
        <f>52000*E285</f>
        <v>1886.976</v>
      </c>
      <c r="I285" s="118">
        <f>52000*0.014*0.144/0.138</f>
        <v>759.6521739130434</v>
      </c>
      <c r="J285" s="118">
        <f>38000*E285</f>
        <v>1378.944</v>
      </c>
      <c r="K285" s="118">
        <f>38000*0.014*0.144/0.138</f>
        <v>555.1304347826086</v>
      </c>
      <c r="L285" s="118">
        <f>22500*E285</f>
        <v>816.48</v>
      </c>
      <c r="M285" s="120">
        <f>22500*0.014*0.144/0.138</f>
        <v>328.695652173913</v>
      </c>
    </row>
    <row r="286" spans="2:13" s="4" customFormat="1" ht="15">
      <c r="B286" s="113" t="s">
        <v>404</v>
      </c>
      <c r="C286" s="114">
        <v>6</v>
      </c>
      <c r="D286" s="115">
        <v>3.312</v>
      </c>
      <c r="E286" s="116">
        <v>0.048384</v>
      </c>
      <c r="F286" s="118">
        <f>70000*E286</f>
        <v>3386.88</v>
      </c>
      <c r="G286" s="118">
        <f>70000*0.014*0.144/0.138</f>
        <v>1022.6086956521737</v>
      </c>
      <c r="H286" s="118">
        <f>52000*E286</f>
        <v>2515.9680000000003</v>
      </c>
      <c r="I286" s="118">
        <f>52000*0.014*0.144/0.138</f>
        <v>759.6521739130434</v>
      </c>
      <c r="J286" s="118">
        <f>38000*E286</f>
        <v>1838.592</v>
      </c>
      <c r="K286" s="118">
        <f>38000*0.014*0.144/0.138</f>
        <v>555.1304347826086</v>
      </c>
      <c r="L286" s="118">
        <f>22500*E286</f>
        <v>1088.64</v>
      </c>
      <c r="M286" s="120">
        <f>22500*0.014*0.144/0.138</f>
        <v>328.695652173913</v>
      </c>
    </row>
    <row r="287" spans="2:13" s="4" customFormat="1" ht="15">
      <c r="B287" s="355" t="s">
        <v>465</v>
      </c>
      <c r="C287" s="356"/>
      <c r="D287" s="356"/>
      <c r="E287" s="357"/>
      <c r="F287" s="468">
        <v>60000</v>
      </c>
      <c r="G287" s="469"/>
      <c r="H287" s="468">
        <v>45500</v>
      </c>
      <c r="I287" s="469"/>
      <c r="J287" s="468">
        <v>31000</v>
      </c>
      <c r="K287" s="469"/>
      <c r="L287" s="468">
        <v>20000</v>
      </c>
      <c r="M287" s="696"/>
    </row>
    <row r="288" spans="2:13" s="4" customFormat="1" ht="15.75" thickBot="1">
      <c r="B288" s="194" t="s">
        <v>466</v>
      </c>
      <c r="C288" s="195"/>
      <c r="D288" s="195"/>
      <c r="E288" s="196"/>
      <c r="F288" s="197">
        <v>70000</v>
      </c>
      <c r="G288" s="198"/>
      <c r="H288" s="197">
        <v>52000</v>
      </c>
      <c r="I288" s="198"/>
      <c r="J288" s="197">
        <v>38000</v>
      </c>
      <c r="K288" s="198"/>
      <c r="L288" s="197">
        <v>22500</v>
      </c>
      <c r="M288" s="199"/>
    </row>
    <row r="289" spans="2:13" s="4" customFormat="1" ht="15.75" thickBot="1">
      <c r="B289" s="121"/>
      <c r="C289" s="121"/>
      <c r="D289" s="122"/>
      <c r="E289" s="123"/>
      <c r="F289" s="124"/>
      <c r="G289" s="125"/>
      <c r="H289" s="124"/>
      <c r="I289" s="125"/>
      <c r="J289" s="124"/>
      <c r="K289" s="126"/>
      <c r="L289" s="124"/>
      <c r="M289" s="125"/>
    </row>
    <row r="290" spans="2:13" s="4" customFormat="1" ht="30" customHeight="1">
      <c r="B290" s="640" t="s">
        <v>193</v>
      </c>
      <c r="C290" s="641"/>
      <c r="D290" s="641"/>
      <c r="E290" s="641"/>
      <c r="F290" s="641"/>
      <c r="G290" s="641"/>
      <c r="H290" s="641"/>
      <c r="I290" s="641"/>
      <c r="J290" s="641"/>
      <c r="K290" s="641"/>
      <c r="L290" s="641"/>
      <c r="M290" s="642"/>
    </row>
    <row r="291" spans="2:13" ht="43.5" customHeight="1">
      <c r="B291" s="204" t="s">
        <v>113</v>
      </c>
      <c r="C291" s="535" t="s">
        <v>341</v>
      </c>
      <c r="D291" s="535" t="s">
        <v>342</v>
      </c>
      <c r="E291" s="537" t="s">
        <v>394</v>
      </c>
      <c r="F291" s="203" t="s">
        <v>395</v>
      </c>
      <c r="G291" s="203"/>
      <c r="H291" s="203" t="s">
        <v>110</v>
      </c>
      <c r="I291" s="203"/>
      <c r="J291" s="203" t="s">
        <v>111</v>
      </c>
      <c r="K291" s="203"/>
      <c r="L291" s="203" t="s">
        <v>112</v>
      </c>
      <c r="M291" s="467"/>
    </row>
    <row r="292" spans="2:13" s="4" customFormat="1" ht="16.5">
      <c r="B292" s="204"/>
      <c r="C292" s="535"/>
      <c r="D292" s="535"/>
      <c r="E292" s="537"/>
      <c r="F292" s="131" t="s">
        <v>433</v>
      </c>
      <c r="G292" s="131" t="s">
        <v>343</v>
      </c>
      <c r="H292" s="131" t="s">
        <v>433</v>
      </c>
      <c r="I292" s="131" t="s">
        <v>343</v>
      </c>
      <c r="J292" s="131" t="s">
        <v>433</v>
      </c>
      <c r="K292" s="131" t="s">
        <v>343</v>
      </c>
      <c r="L292" s="131" t="s">
        <v>433</v>
      </c>
      <c r="M292" s="112" t="s">
        <v>343</v>
      </c>
    </row>
    <row r="293" spans="2:13" s="4" customFormat="1" ht="15">
      <c r="B293" s="113" t="s">
        <v>495</v>
      </c>
      <c r="C293" s="148">
        <v>4</v>
      </c>
      <c r="D293" s="149">
        <v>1.62</v>
      </c>
      <c r="E293" s="147">
        <v>0.041184</v>
      </c>
      <c r="F293" s="118">
        <f>57500*E293</f>
        <v>2368.08</v>
      </c>
      <c r="G293" s="118">
        <f>57500*0.024*0.143/0.135</f>
        <v>1461.7777777777776</v>
      </c>
      <c r="H293" s="148" t="s">
        <v>1</v>
      </c>
      <c r="I293" s="148" t="s">
        <v>1</v>
      </c>
      <c r="J293" s="118">
        <f>28000*E293</f>
        <v>1153.152</v>
      </c>
      <c r="K293" s="118">
        <f>28000*0.024*0.143/0.135</f>
        <v>711.8222222222221</v>
      </c>
      <c r="L293" s="148" t="s">
        <v>1</v>
      </c>
      <c r="M293" s="112" t="s">
        <v>1</v>
      </c>
    </row>
    <row r="294" spans="2:13" s="4" customFormat="1" ht="15" customHeight="1">
      <c r="B294" s="113" t="s">
        <v>496</v>
      </c>
      <c r="C294" s="148">
        <v>4</v>
      </c>
      <c r="D294" s="149">
        <v>2.16</v>
      </c>
      <c r="E294" s="147">
        <v>0.054912</v>
      </c>
      <c r="F294" s="118">
        <f>57500*E294</f>
        <v>3157.44</v>
      </c>
      <c r="G294" s="118">
        <f>57500*0.024*0.143/0.135</f>
        <v>1461.7777777777776</v>
      </c>
      <c r="H294" s="148" t="s">
        <v>1</v>
      </c>
      <c r="I294" s="148" t="s">
        <v>1</v>
      </c>
      <c r="J294" s="118">
        <f>28000*E294</f>
        <v>1537.536</v>
      </c>
      <c r="K294" s="118">
        <f>28000*0.024*0.143/0.135</f>
        <v>711.8222222222221</v>
      </c>
      <c r="L294" s="148" t="s">
        <v>1</v>
      </c>
      <c r="M294" s="112" t="s">
        <v>1</v>
      </c>
    </row>
    <row r="295" spans="2:13" s="4" customFormat="1" ht="15">
      <c r="B295" s="113" t="s">
        <v>405</v>
      </c>
      <c r="C295" s="114">
        <v>4</v>
      </c>
      <c r="D295" s="115">
        <v>1.512</v>
      </c>
      <c r="E295" s="116">
        <v>0.0425736</v>
      </c>
      <c r="F295" s="118">
        <f>57500*E295</f>
        <v>2447.982</v>
      </c>
      <c r="G295" s="118">
        <f>57500*0.027*0.146/0.14</f>
        <v>1619.035714285714</v>
      </c>
      <c r="H295" s="118">
        <f>46500*E295</f>
        <v>1979.6724000000002</v>
      </c>
      <c r="I295" s="118">
        <f>46500*0.027*0.146/0.14</f>
        <v>1309.3071428571427</v>
      </c>
      <c r="J295" s="118">
        <f>28000*E295</f>
        <v>1192.0608000000002</v>
      </c>
      <c r="K295" s="118">
        <f>28000*0.027*0.146/0.14</f>
        <v>788.3999999999999</v>
      </c>
      <c r="L295" s="118">
        <f>19500*E295</f>
        <v>830.1852</v>
      </c>
      <c r="M295" s="120">
        <f>19500*0.027*0.146/0.14</f>
        <v>549.0642857142857</v>
      </c>
    </row>
    <row r="296" spans="2:13" s="4" customFormat="1" ht="15">
      <c r="B296" s="113" t="s">
        <v>406</v>
      </c>
      <c r="C296" s="114">
        <v>4</v>
      </c>
      <c r="D296" s="115">
        <v>1.68</v>
      </c>
      <c r="E296" s="116">
        <v>0.047304</v>
      </c>
      <c r="F296" s="118">
        <f>57500*E296</f>
        <v>2719.98</v>
      </c>
      <c r="G296" s="118">
        <f>57500*0.027*0.146/0.14</f>
        <v>1619.035714285714</v>
      </c>
      <c r="H296" s="118">
        <f>46500*E296</f>
        <v>2199.636</v>
      </c>
      <c r="I296" s="118">
        <f>46500*0.027*0.146/0.14</f>
        <v>1309.3071428571427</v>
      </c>
      <c r="J296" s="118">
        <f>28000*E296</f>
        <v>1324.512</v>
      </c>
      <c r="K296" s="118">
        <f>28000*0.027*0.146/0.14</f>
        <v>788.3999999999999</v>
      </c>
      <c r="L296" s="118">
        <f>19500*E296</f>
        <v>922.428</v>
      </c>
      <c r="M296" s="120">
        <f>19500*0.027*0.146/0.14</f>
        <v>549.0642857142857</v>
      </c>
    </row>
    <row r="297" spans="2:13" s="4" customFormat="1" ht="15">
      <c r="B297" s="113" t="s">
        <v>407</v>
      </c>
      <c r="C297" s="114">
        <v>4</v>
      </c>
      <c r="D297" s="115">
        <v>2.24</v>
      </c>
      <c r="E297" s="116">
        <v>0.063072</v>
      </c>
      <c r="F297" s="118">
        <f>57500*E297</f>
        <v>3626.6400000000003</v>
      </c>
      <c r="G297" s="118">
        <f>57500*0.027*0.146/0.14</f>
        <v>1619.035714285714</v>
      </c>
      <c r="H297" s="118">
        <f>46500*E297</f>
        <v>2932.848</v>
      </c>
      <c r="I297" s="118">
        <f>46500*0.027*0.146/0.14</f>
        <v>1309.3071428571427</v>
      </c>
      <c r="J297" s="118">
        <f>28000*E297</f>
        <v>1766.016</v>
      </c>
      <c r="K297" s="118">
        <f>28000*0.027*0.146/0.14</f>
        <v>788.3999999999999</v>
      </c>
      <c r="L297" s="118">
        <f>19500*E297</f>
        <v>1229.904</v>
      </c>
      <c r="M297" s="120">
        <f>19500*0.027*0.146/0.14</f>
        <v>549.0642857142857</v>
      </c>
    </row>
    <row r="298" spans="2:13" s="4" customFormat="1" ht="15">
      <c r="B298" s="113" t="s">
        <v>434</v>
      </c>
      <c r="C298" s="114">
        <v>5</v>
      </c>
      <c r="D298" s="115">
        <v>1.72</v>
      </c>
      <c r="E298" s="116">
        <v>0.0564</v>
      </c>
      <c r="F298" s="118" t="s">
        <v>1</v>
      </c>
      <c r="G298" s="118" t="s">
        <v>1</v>
      </c>
      <c r="H298" s="118">
        <f>42000*E298</f>
        <v>2368.7999999999997</v>
      </c>
      <c r="I298" s="118">
        <f>42000*0.03*0.094/0.086</f>
        <v>1377.2093023255816</v>
      </c>
      <c r="J298" s="118">
        <f>27000*E298</f>
        <v>1522.8</v>
      </c>
      <c r="K298" s="118">
        <f>27000*0.03*0.094/0.086</f>
        <v>885.3488372093024</v>
      </c>
      <c r="L298" s="118" t="s">
        <v>1</v>
      </c>
      <c r="M298" s="120" t="s">
        <v>1</v>
      </c>
    </row>
    <row r="299" spans="2:13" s="4" customFormat="1" ht="15">
      <c r="B299" s="680" t="s">
        <v>468</v>
      </c>
      <c r="C299" s="681"/>
      <c r="D299" s="681"/>
      <c r="E299" s="682"/>
      <c r="F299" s="215">
        <v>57500</v>
      </c>
      <c r="G299" s="222"/>
      <c r="H299" s="215">
        <v>46500</v>
      </c>
      <c r="I299" s="222"/>
      <c r="J299" s="215">
        <v>28000</v>
      </c>
      <c r="K299" s="222"/>
      <c r="L299" s="215">
        <v>19500</v>
      </c>
      <c r="M299" s="216"/>
    </row>
    <row r="300" spans="2:13" s="4" customFormat="1" ht="15.75" thickBot="1">
      <c r="B300" s="194" t="s">
        <v>469</v>
      </c>
      <c r="C300" s="195"/>
      <c r="D300" s="195"/>
      <c r="E300" s="196"/>
      <c r="F300" s="197" t="s">
        <v>1</v>
      </c>
      <c r="G300" s="198"/>
      <c r="H300" s="197">
        <v>42000</v>
      </c>
      <c r="I300" s="198"/>
      <c r="J300" s="197">
        <v>27000</v>
      </c>
      <c r="K300" s="198"/>
      <c r="L300" s="197" t="s">
        <v>1</v>
      </c>
      <c r="M300" s="199"/>
    </row>
    <row r="301" spans="2:13" s="4" customFormat="1" ht="15.75" thickBot="1">
      <c r="B301" s="121"/>
      <c r="C301" s="121"/>
      <c r="D301" s="122"/>
      <c r="E301" s="123"/>
      <c r="F301" s="125"/>
      <c r="G301" s="125"/>
      <c r="H301" s="125"/>
      <c r="I301" s="125"/>
      <c r="J301" s="125"/>
      <c r="K301" s="125"/>
      <c r="L301" s="125"/>
      <c r="M301" s="125"/>
    </row>
    <row r="302" spans="2:13" s="4" customFormat="1" ht="40.5" customHeight="1">
      <c r="B302" s="700" t="s">
        <v>446</v>
      </c>
      <c r="C302" s="701"/>
      <c r="D302" s="701"/>
      <c r="E302" s="701"/>
      <c r="F302" s="701"/>
      <c r="G302" s="701"/>
      <c r="H302" s="701"/>
      <c r="I302" s="701"/>
      <c r="J302" s="701"/>
      <c r="K302" s="701"/>
      <c r="L302" s="701"/>
      <c r="M302" s="702"/>
    </row>
    <row r="303" spans="2:13" s="4" customFormat="1" ht="15">
      <c r="B303" s="204" t="s">
        <v>113</v>
      </c>
      <c r="C303" s="535" t="s">
        <v>341</v>
      </c>
      <c r="D303" s="535" t="s">
        <v>342</v>
      </c>
      <c r="E303" s="537" t="s">
        <v>394</v>
      </c>
      <c r="F303" s="203" t="s">
        <v>395</v>
      </c>
      <c r="G303" s="203"/>
      <c r="H303" s="203" t="s">
        <v>110</v>
      </c>
      <c r="I303" s="203"/>
      <c r="J303" s="203" t="s">
        <v>111</v>
      </c>
      <c r="K303" s="203"/>
      <c r="L303" s="203" t="s">
        <v>112</v>
      </c>
      <c r="M303" s="467"/>
    </row>
    <row r="304" spans="2:13" s="4" customFormat="1" ht="16.5">
      <c r="B304" s="204"/>
      <c r="C304" s="535"/>
      <c r="D304" s="535"/>
      <c r="E304" s="537"/>
      <c r="F304" s="132" t="s">
        <v>433</v>
      </c>
      <c r="G304" s="132" t="s">
        <v>343</v>
      </c>
      <c r="H304" s="132" t="s">
        <v>433</v>
      </c>
      <c r="I304" s="132" t="s">
        <v>343</v>
      </c>
      <c r="J304" s="132" t="s">
        <v>433</v>
      </c>
      <c r="K304" s="132" t="s">
        <v>343</v>
      </c>
      <c r="L304" s="132" t="s">
        <v>433</v>
      </c>
      <c r="M304" s="112" t="s">
        <v>343</v>
      </c>
    </row>
    <row r="305" spans="2:13" s="4" customFormat="1" ht="15">
      <c r="B305" s="113" t="s">
        <v>447</v>
      </c>
      <c r="C305" s="114">
        <v>4</v>
      </c>
      <c r="D305" s="115">
        <v>1.4904</v>
      </c>
      <c r="E305" s="116">
        <v>0.03888</v>
      </c>
      <c r="F305" s="118">
        <f>57000*E305</f>
        <v>2216.16</v>
      </c>
      <c r="G305" s="118">
        <f>57000*0.025*0.144/0.138</f>
        <v>1486.9565217391303</v>
      </c>
      <c r="H305" s="118">
        <f>46000*E305</f>
        <v>1788.4799999999998</v>
      </c>
      <c r="I305" s="118">
        <f>46000*0.025*0.144/0.138</f>
        <v>1199.9999999999998</v>
      </c>
      <c r="J305" s="118">
        <f>28000*E305</f>
        <v>1088.6399999999999</v>
      </c>
      <c r="K305" s="118">
        <f>28000*0.025*0.144/0.138</f>
        <v>730.4347826086955</v>
      </c>
      <c r="L305" s="118">
        <f>19500*E305</f>
        <v>758.16</v>
      </c>
      <c r="M305" s="118">
        <f>19500*0.025*0.144/0.138</f>
        <v>508.6956521739129</v>
      </c>
    </row>
    <row r="306" spans="2:13" s="4" customFormat="1" ht="15">
      <c r="B306" s="113" t="s">
        <v>448</v>
      </c>
      <c r="C306" s="114">
        <v>4</v>
      </c>
      <c r="D306" s="115">
        <v>1.656</v>
      </c>
      <c r="E306" s="116">
        <v>0.0432</v>
      </c>
      <c r="F306" s="118">
        <f>57000*E306</f>
        <v>2462.4</v>
      </c>
      <c r="G306" s="118">
        <f>57000*0.025*0.144/0.138</f>
        <v>1486.9565217391303</v>
      </c>
      <c r="H306" s="118">
        <f>46000*E306</f>
        <v>1987.2</v>
      </c>
      <c r="I306" s="118">
        <f>46000*0.025*0.144/0.138</f>
        <v>1199.9999999999998</v>
      </c>
      <c r="J306" s="118">
        <f>28000*E306</f>
        <v>1209.6000000000001</v>
      </c>
      <c r="K306" s="118">
        <f>28000*0.025*0.144/0.138</f>
        <v>730.4347826086955</v>
      </c>
      <c r="L306" s="118">
        <f>19500*E306</f>
        <v>842.4000000000001</v>
      </c>
      <c r="M306" s="118">
        <f>19500*0.025*0.144/0.138</f>
        <v>508.6956521739129</v>
      </c>
    </row>
    <row r="307" spans="2:13" ht="15">
      <c r="B307" s="113" t="s">
        <v>449</v>
      </c>
      <c r="C307" s="114">
        <v>4</v>
      </c>
      <c r="D307" s="115">
        <v>2.208</v>
      </c>
      <c r="E307" s="116">
        <v>0.0576</v>
      </c>
      <c r="F307" s="118">
        <f>57000*E307</f>
        <v>3283.2</v>
      </c>
      <c r="G307" s="118">
        <f>57000*0.025*0.144/0.138</f>
        <v>1486.9565217391303</v>
      </c>
      <c r="H307" s="118">
        <f>46000*E307</f>
        <v>2649.6</v>
      </c>
      <c r="I307" s="118">
        <f>46000*0.025*0.144/0.138</f>
        <v>1199.9999999999998</v>
      </c>
      <c r="J307" s="118">
        <f>28000*E307</f>
        <v>1612.8</v>
      </c>
      <c r="K307" s="118">
        <f>28000*0.025*0.144/0.138</f>
        <v>730.4347826086955</v>
      </c>
      <c r="L307" s="118">
        <f>19500*E307</f>
        <v>1123.2</v>
      </c>
      <c r="M307" s="120">
        <f>19500*0.025*0.144/0.138</f>
        <v>508.6956521739129</v>
      </c>
    </row>
    <row r="308" spans="2:13" s="4" customFormat="1" ht="15.75" thickBot="1">
      <c r="B308" s="194" t="s">
        <v>470</v>
      </c>
      <c r="C308" s="195"/>
      <c r="D308" s="195"/>
      <c r="E308" s="196"/>
      <c r="F308" s="197">
        <v>57000</v>
      </c>
      <c r="G308" s="198"/>
      <c r="H308" s="197">
        <v>46000</v>
      </c>
      <c r="I308" s="198"/>
      <c r="J308" s="197">
        <v>28000</v>
      </c>
      <c r="K308" s="198"/>
      <c r="L308" s="197">
        <v>19500</v>
      </c>
      <c r="M308" s="199"/>
    </row>
    <row r="309" spans="2:13" s="4" customFormat="1" ht="31.5" customHeight="1">
      <c r="B309" s="640" t="s">
        <v>190</v>
      </c>
      <c r="C309" s="641"/>
      <c r="D309" s="641"/>
      <c r="E309" s="641"/>
      <c r="F309" s="641"/>
      <c r="G309" s="641"/>
      <c r="H309" s="641"/>
      <c r="I309" s="641"/>
      <c r="J309" s="641"/>
      <c r="K309" s="641"/>
      <c r="L309" s="641"/>
      <c r="M309" s="642"/>
    </row>
    <row r="310" spans="2:13" s="4" customFormat="1" ht="15">
      <c r="B310" s="204" t="s">
        <v>113</v>
      </c>
      <c r="C310" s="535" t="s">
        <v>341</v>
      </c>
      <c r="D310" s="535" t="s">
        <v>342</v>
      </c>
      <c r="E310" s="537" t="s">
        <v>394</v>
      </c>
      <c r="F310" s="203" t="s">
        <v>395</v>
      </c>
      <c r="G310" s="203"/>
      <c r="H310" s="203" t="s">
        <v>110</v>
      </c>
      <c r="I310" s="203"/>
      <c r="J310" s="203" t="s">
        <v>111</v>
      </c>
      <c r="K310" s="203"/>
      <c r="L310" s="203" t="s">
        <v>112</v>
      </c>
      <c r="M310" s="467"/>
    </row>
    <row r="311" spans="2:13" s="4" customFormat="1" ht="33.75" customHeight="1">
      <c r="B311" s="204"/>
      <c r="C311" s="535"/>
      <c r="D311" s="535"/>
      <c r="E311" s="537"/>
      <c r="F311" s="136" t="s">
        <v>433</v>
      </c>
      <c r="G311" s="136" t="s">
        <v>343</v>
      </c>
      <c r="H311" s="136" t="s">
        <v>433</v>
      </c>
      <c r="I311" s="136" t="s">
        <v>343</v>
      </c>
      <c r="J311" s="136" t="s">
        <v>433</v>
      </c>
      <c r="K311" s="136" t="s">
        <v>343</v>
      </c>
      <c r="L311" s="136" t="s">
        <v>433</v>
      </c>
      <c r="M311" s="112" t="s">
        <v>343</v>
      </c>
    </row>
    <row r="312" spans="2:13" s="4" customFormat="1" ht="15">
      <c r="B312" s="113" t="s">
        <v>408</v>
      </c>
      <c r="C312" s="114">
        <v>4</v>
      </c>
      <c r="D312" s="115">
        <v>1.68</v>
      </c>
      <c r="E312" s="116">
        <v>0.042</v>
      </c>
      <c r="F312" s="118">
        <f aca="true" t="shared" si="7" ref="F312:F319">59500*E312</f>
        <v>2499</v>
      </c>
      <c r="G312" s="118">
        <f>59500*0.025</f>
        <v>1487.5</v>
      </c>
      <c r="H312" s="118">
        <f aca="true" t="shared" si="8" ref="H312:H319">48000*E312</f>
        <v>2016.0000000000002</v>
      </c>
      <c r="I312" s="118">
        <f>48000*0.025</f>
        <v>1200</v>
      </c>
      <c r="J312" s="118">
        <f aca="true" t="shared" si="9" ref="J312:J319">29000*E312</f>
        <v>1218</v>
      </c>
      <c r="K312" s="118">
        <f>29000*0.025</f>
        <v>725</v>
      </c>
      <c r="L312" s="118">
        <f aca="true" t="shared" si="10" ref="L312:L319">20500*E312</f>
        <v>861</v>
      </c>
      <c r="M312" s="120">
        <f>20500*0.025</f>
        <v>512.5</v>
      </c>
    </row>
    <row r="313" spans="2:13" s="4" customFormat="1" ht="15">
      <c r="B313" s="113" t="s">
        <v>409</v>
      </c>
      <c r="C313" s="114">
        <v>4</v>
      </c>
      <c r="D313" s="115">
        <v>1.32</v>
      </c>
      <c r="E313" s="116">
        <v>0.03564</v>
      </c>
      <c r="F313" s="118">
        <f t="shared" si="7"/>
        <v>2120.58</v>
      </c>
      <c r="G313" s="118">
        <f>59500*0.027</f>
        <v>1606.5</v>
      </c>
      <c r="H313" s="118">
        <f t="shared" si="8"/>
        <v>1710.7199999999998</v>
      </c>
      <c r="I313" s="118">
        <f>48000*0.027</f>
        <v>1296</v>
      </c>
      <c r="J313" s="118">
        <f t="shared" si="9"/>
        <v>1033.56</v>
      </c>
      <c r="K313" s="118">
        <f>29000*0.027</f>
        <v>783</v>
      </c>
      <c r="L313" s="118">
        <f t="shared" si="10"/>
        <v>730.62</v>
      </c>
      <c r="M313" s="120">
        <f>20500*0.027</f>
        <v>553.5</v>
      </c>
    </row>
    <row r="314" spans="2:13" ht="15">
      <c r="B314" s="113" t="s">
        <v>410</v>
      </c>
      <c r="C314" s="114">
        <v>4</v>
      </c>
      <c r="D314" s="115">
        <v>1.76</v>
      </c>
      <c r="E314" s="116">
        <v>0.04752</v>
      </c>
      <c r="F314" s="118">
        <f t="shared" si="7"/>
        <v>2827.44</v>
      </c>
      <c r="G314" s="118">
        <f>59500*0.027</f>
        <v>1606.5</v>
      </c>
      <c r="H314" s="118">
        <f t="shared" si="8"/>
        <v>2280.96</v>
      </c>
      <c r="I314" s="118">
        <f>48000*0.027</f>
        <v>1296</v>
      </c>
      <c r="J314" s="118">
        <f t="shared" si="9"/>
        <v>1378.08</v>
      </c>
      <c r="K314" s="118">
        <f>29000*0.027</f>
        <v>783</v>
      </c>
      <c r="L314" s="118">
        <f t="shared" si="10"/>
        <v>974.16</v>
      </c>
      <c r="M314" s="120">
        <f>20500*0.027</f>
        <v>553.5</v>
      </c>
    </row>
    <row r="315" spans="2:13" ht="15">
      <c r="B315" s="113" t="s">
        <v>411</v>
      </c>
      <c r="C315" s="114">
        <v>4</v>
      </c>
      <c r="D315" s="115">
        <v>1.512</v>
      </c>
      <c r="E315" s="116">
        <v>0.040824</v>
      </c>
      <c r="F315" s="118">
        <f t="shared" si="7"/>
        <v>2429.028</v>
      </c>
      <c r="G315" s="118">
        <f>59500*0.027</f>
        <v>1606.5</v>
      </c>
      <c r="H315" s="118">
        <f t="shared" si="8"/>
        <v>1959.552</v>
      </c>
      <c r="I315" s="118">
        <f>48000*0.027</f>
        <v>1296</v>
      </c>
      <c r="J315" s="118">
        <f t="shared" si="9"/>
        <v>1183.896</v>
      </c>
      <c r="K315" s="118">
        <f>29000*0.027</f>
        <v>783</v>
      </c>
      <c r="L315" s="118">
        <f t="shared" si="10"/>
        <v>836.8919999999999</v>
      </c>
      <c r="M315" s="120">
        <f>20500*0.027</f>
        <v>553.5</v>
      </c>
    </row>
    <row r="316" spans="2:13" ht="15">
      <c r="B316" s="113" t="s">
        <v>412</v>
      </c>
      <c r="C316" s="114">
        <v>4</v>
      </c>
      <c r="D316" s="115">
        <v>1.68</v>
      </c>
      <c r="E316" s="116">
        <v>0.04536</v>
      </c>
      <c r="F316" s="118">
        <f t="shared" si="7"/>
        <v>2698.92</v>
      </c>
      <c r="G316" s="118">
        <f>59500*0.027</f>
        <v>1606.5</v>
      </c>
      <c r="H316" s="118">
        <f t="shared" si="8"/>
        <v>2177.2799999999997</v>
      </c>
      <c r="I316" s="118">
        <f>48000*0.027</f>
        <v>1296</v>
      </c>
      <c r="J316" s="118">
        <f t="shared" si="9"/>
        <v>1315.4399999999998</v>
      </c>
      <c r="K316" s="118">
        <f>29000*0.027</f>
        <v>783</v>
      </c>
      <c r="L316" s="118">
        <f t="shared" si="10"/>
        <v>929.88</v>
      </c>
      <c r="M316" s="120">
        <f>20500*0.027</f>
        <v>553.5</v>
      </c>
    </row>
    <row r="317" spans="2:13" ht="15">
      <c r="B317" s="113" t="s">
        <v>413</v>
      </c>
      <c r="C317" s="114">
        <v>4</v>
      </c>
      <c r="D317" s="115">
        <v>2.24</v>
      </c>
      <c r="E317" s="116">
        <v>0.06048</v>
      </c>
      <c r="F317" s="118">
        <f t="shared" si="7"/>
        <v>3598.56</v>
      </c>
      <c r="G317" s="118">
        <f>59500*0.027</f>
        <v>1606.5</v>
      </c>
      <c r="H317" s="118">
        <f t="shared" si="8"/>
        <v>2903.04</v>
      </c>
      <c r="I317" s="118">
        <f>48000*0.027</f>
        <v>1296</v>
      </c>
      <c r="J317" s="118">
        <f t="shared" si="9"/>
        <v>1753.92</v>
      </c>
      <c r="K317" s="118">
        <f>29000*0.027</f>
        <v>783</v>
      </c>
      <c r="L317" s="118">
        <f t="shared" si="10"/>
        <v>1239.84</v>
      </c>
      <c r="M317" s="120">
        <f>20500*0.027</f>
        <v>553.5</v>
      </c>
    </row>
    <row r="318" spans="2:13" ht="15">
      <c r="B318" s="113" t="s">
        <v>452</v>
      </c>
      <c r="C318" s="137">
        <v>4</v>
      </c>
      <c r="D318" s="138">
        <v>2.24</v>
      </c>
      <c r="E318" s="139">
        <v>0.07168</v>
      </c>
      <c r="F318" s="140">
        <f t="shared" si="7"/>
        <v>4264.96</v>
      </c>
      <c r="G318" s="118">
        <f>59500*0.032</f>
        <v>1904</v>
      </c>
      <c r="H318" s="140">
        <f t="shared" si="8"/>
        <v>3440.64</v>
      </c>
      <c r="I318" s="118">
        <f>48000*0.032</f>
        <v>1536</v>
      </c>
      <c r="J318" s="140">
        <f t="shared" si="9"/>
        <v>2078.72</v>
      </c>
      <c r="K318" s="118">
        <f>29000*0.032</f>
        <v>928</v>
      </c>
      <c r="L318" s="140">
        <f t="shared" si="10"/>
        <v>1469.4399999999998</v>
      </c>
      <c r="M318" s="120">
        <f>20500*0.032</f>
        <v>656</v>
      </c>
    </row>
    <row r="319" spans="2:13" ht="15">
      <c r="B319" s="113" t="s">
        <v>414</v>
      </c>
      <c r="C319" s="114">
        <v>2</v>
      </c>
      <c r="D319" s="115">
        <v>0.84</v>
      </c>
      <c r="E319" s="116">
        <v>0.0378</v>
      </c>
      <c r="F319" s="118">
        <f t="shared" si="7"/>
        <v>2249.1</v>
      </c>
      <c r="G319" s="118">
        <f>59500*0.045</f>
        <v>2677.5</v>
      </c>
      <c r="H319" s="118">
        <f t="shared" si="8"/>
        <v>1814.4</v>
      </c>
      <c r="I319" s="118">
        <f>48000*0.045</f>
        <v>2160</v>
      </c>
      <c r="J319" s="118">
        <f t="shared" si="9"/>
        <v>1096.2</v>
      </c>
      <c r="K319" s="118">
        <f>29000*0.045</f>
        <v>1305</v>
      </c>
      <c r="L319" s="118">
        <f t="shared" si="10"/>
        <v>774.9</v>
      </c>
      <c r="M319" s="120">
        <f>20500*0.045</f>
        <v>922.5</v>
      </c>
    </row>
    <row r="320" spans="1:13" ht="15.75" thickBot="1">
      <c r="A320" s="10"/>
      <c r="B320" s="194" t="s">
        <v>464</v>
      </c>
      <c r="C320" s="195"/>
      <c r="D320" s="195"/>
      <c r="E320" s="196"/>
      <c r="F320" s="197">
        <v>59500</v>
      </c>
      <c r="G320" s="198"/>
      <c r="H320" s="197">
        <v>48000</v>
      </c>
      <c r="I320" s="198"/>
      <c r="J320" s="197">
        <v>29000</v>
      </c>
      <c r="K320" s="198"/>
      <c r="L320" s="197">
        <v>20500</v>
      </c>
      <c r="M320" s="199"/>
    </row>
    <row r="321" spans="1:13" ht="15.75" thickBot="1">
      <c r="A321" s="10"/>
      <c r="B321" s="41"/>
      <c r="C321" s="41"/>
      <c r="D321" s="41"/>
      <c r="E321" s="42"/>
      <c r="F321" s="42"/>
      <c r="G321" s="35"/>
      <c r="H321" s="43"/>
      <c r="I321" s="43"/>
      <c r="J321" s="43"/>
      <c r="K321" s="43"/>
      <c r="L321" s="43"/>
      <c r="M321" s="43"/>
    </row>
    <row r="322" spans="1:13" ht="27" customHeight="1">
      <c r="A322" s="10"/>
      <c r="B322" s="700" t="s">
        <v>189</v>
      </c>
      <c r="C322" s="701"/>
      <c r="D322" s="701"/>
      <c r="E322" s="701"/>
      <c r="F322" s="701"/>
      <c r="G322" s="701"/>
      <c r="H322" s="701"/>
      <c r="I322" s="701"/>
      <c r="J322" s="701"/>
      <c r="K322" s="701"/>
      <c r="L322" s="701"/>
      <c r="M322" s="702"/>
    </row>
    <row r="323" spans="2:13" ht="15">
      <c r="B323" s="204" t="s">
        <v>113</v>
      </c>
      <c r="C323" s="535" t="s">
        <v>341</v>
      </c>
      <c r="D323" s="535" t="s">
        <v>342</v>
      </c>
      <c r="E323" s="537" t="s">
        <v>394</v>
      </c>
      <c r="F323" s="203" t="s">
        <v>395</v>
      </c>
      <c r="G323" s="203"/>
      <c r="H323" s="203" t="s">
        <v>110</v>
      </c>
      <c r="I323" s="203"/>
      <c r="J323" s="203" t="s">
        <v>111</v>
      </c>
      <c r="K323" s="203"/>
      <c r="L323" s="203" t="s">
        <v>112</v>
      </c>
      <c r="M323" s="467"/>
    </row>
    <row r="324" spans="2:13" ht="16.5">
      <c r="B324" s="204"/>
      <c r="C324" s="535"/>
      <c r="D324" s="535"/>
      <c r="E324" s="537"/>
      <c r="F324" s="130" t="s">
        <v>433</v>
      </c>
      <c r="G324" s="111" t="s">
        <v>343</v>
      </c>
      <c r="H324" s="130" t="s">
        <v>433</v>
      </c>
      <c r="I324" s="111" t="s">
        <v>343</v>
      </c>
      <c r="J324" s="130" t="s">
        <v>433</v>
      </c>
      <c r="K324" s="111" t="s">
        <v>343</v>
      </c>
      <c r="L324" s="130" t="s">
        <v>433</v>
      </c>
      <c r="M324" s="112" t="s">
        <v>343</v>
      </c>
    </row>
    <row r="325" spans="2:13" ht="15">
      <c r="B325" s="113" t="s">
        <v>415</v>
      </c>
      <c r="C325" s="114">
        <v>5</v>
      </c>
      <c r="D325" s="115">
        <v>2.8</v>
      </c>
      <c r="E325" s="116">
        <v>0.056</v>
      </c>
      <c r="F325" s="118">
        <f>63000*E325</f>
        <v>3528</v>
      </c>
      <c r="G325" s="118">
        <f>63000*0.02</f>
        <v>1260</v>
      </c>
      <c r="H325" s="118">
        <f>53500*E325</f>
        <v>2996</v>
      </c>
      <c r="I325" s="118">
        <f>53500*0.02</f>
        <v>1070</v>
      </c>
      <c r="J325" s="117" t="s">
        <v>1</v>
      </c>
      <c r="K325" s="118" t="s">
        <v>1</v>
      </c>
      <c r="L325" s="117" t="s">
        <v>1</v>
      </c>
      <c r="M325" s="120" t="s">
        <v>1</v>
      </c>
    </row>
    <row r="326" spans="2:13" ht="15.75" thickBot="1">
      <c r="B326" s="194" t="s">
        <v>464</v>
      </c>
      <c r="C326" s="195"/>
      <c r="D326" s="195"/>
      <c r="E326" s="196"/>
      <c r="F326" s="197">
        <v>63000</v>
      </c>
      <c r="G326" s="198"/>
      <c r="H326" s="197">
        <v>53500</v>
      </c>
      <c r="I326" s="198"/>
      <c r="J326" s="693" t="s">
        <v>1</v>
      </c>
      <c r="K326" s="695"/>
      <c r="L326" s="693" t="s">
        <v>1</v>
      </c>
      <c r="M326" s="694"/>
    </row>
    <row r="327" spans="2:13" ht="15.75" thickBot="1">
      <c r="B327" s="41"/>
      <c r="C327" s="41"/>
      <c r="D327" s="41"/>
      <c r="E327" s="42"/>
      <c r="F327" s="42"/>
      <c r="G327" s="35"/>
      <c r="H327" s="43"/>
      <c r="I327" s="43"/>
      <c r="J327" s="43"/>
      <c r="K327" s="43"/>
      <c r="L327" s="43"/>
      <c r="M327" s="43"/>
    </row>
    <row r="328" spans="2:13" ht="31.5" customHeight="1">
      <c r="B328" s="640" t="s">
        <v>331</v>
      </c>
      <c r="C328" s="641"/>
      <c r="D328" s="641"/>
      <c r="E328" s="641"/>
      <c r="F328" s="641"/>
      <c r="G328" s="641"/>
      <c r="H328" s="641"/>
      <c r="I328" s="641"/>
      <c r="J328" s="641"/>
      <c r="K328" s="641"/>
      <c r="L328" s="641"/>
      <c r="M328" s="642"/>
    </row>
    <row r="329" spans="2:13" ht="15">
      <c r="B329" s="204" t="s">
        <v>113</v>
      </c>
      <c r="C329" s="535" t="s">
        <v>341</v>
      </c>
      <c r="D329" s="535" t="s">
        <v>342</v>
      </c>
      <c r="E329" s="537" t="s">
        <v>394</v>
      </c>
      <c r="F329" s="203" t="s">
        <v>395</v>
      </c>
      <c r="G329" s="203"/>
      <c r="H329" s="203" t="s">
        <v>110</v>
      </c>
      <c r="I329" s="203"/>
      <c r="J329" s="203" t="s">
        <v>111</v>
      </c>
      <c r="K329" s="203"/>
      <c r="L329" s="203" t="s">
        <v>112</v>
      </c>
      <c r="M329" s="467"/>
    </row>
    <row r="330" spans="2:13" ht="16.5">
      <c r="B330" s="204"/>
      <c r="C330" s="535"/>
      <c r="D330" s="535"/>
      <c r="E330" s="537"/>
      <c r="F330" s="130" t="s">
        <v>433</v>
      </c>
      <c r="G330" s="111" t="s">
        <v>343</v>
      </c>
      <c r="H330" s="130" t="s">
        <v>433</v>
      </c>
      <c r="I330" s="111" t="s">
        <v>343</v>
      </c>
      <c r="J330" s="130" t="s">
        <v>433</v>
      </c>
      <c r="K330" s="111" t="s">
        <v>343</v>
      </c>
      <c r="L330" s="130" t="s">
        <v>433</v>
      </c>
      <c r="M330" s="112" t="s">
        <v>343</v>
      </c>
    </row>
    <row r="331" spans="2:13" ht="15">
      <c r="B331" s="113" t="s">
        <v>399</v>
      </c>
      <c r="C331" s="114">
        <v>6</v>
      </c>
      <c r="D331" s="115">
        <v>1.782</v>
      </c>
      <c r="E331" s="116">
        <v>0.0263088</v>
      </c>
      <c r="F331" s="118">
        <f>44000*E331</f>
        <v>1157.5872</v>
      </c>
      <c r="G331" s="118">
        <f>44000*0.014*0.116/0.11</f>
        <v>649.6</v>
      </c>
      <c r="H331" s="118">
        <f>38500*E331</f>
        <v>1012.8888000000001</v>
      </c>
      <c r="I331" s="118">
        <f>38500*0.014*0.116/0.11</f>
        <v>568.4</v>
      </c>
      <c r="J331" s="117" t="s">
        <v>1</v>
      </c>
      <c r="K331" s="119" t="s">
        <v>1</v>
      </c>
      <c r="L331" s="117" t="s">
        <v>1</v>
      </c>
      <c r="M331" s="120" t="s">
        <v>1</v>
      </c>
    </row>
    <row r="332" spans="2:13" ht="15">
      <c r="B332" s="113" t="s">
        <v>400</v>
      </c>
      <c r="C332" s="114">
        <v>6</v>
      </c>
      <c r="D332" s="115">
        <v>1.98</v>
      </c>
      <c r="E332" s="116">
        <v>0.029232</v>
      </c>
      <c r="F332" s="118">
        <f>44000*E332</f>
        <v>1286.208</v>
      </c>
      <c r="G332" s="118">
        <f>44000*0.014*0.116/0.11</f>
        <v>649.6</v>
      </c>
      <c r="H332" s="118">
        <f>38500*E332</f>
        <v>1125.432</v>
      </c>
      <c r="I332" s="118">
        <f>38500*0.014*0.116/0.11</f>
        <v>568.4</v>
      </c>
      <c r="J332" s="117" t="s">
        <v>1</v>
      </c>
      <c r="K332" s="119" t="s">
        <v>1</v>
      </c>
      <c r="L332" s="117" t="s">
        <v>1</v>
      </c>
      <c r="M332" s="120" t="s">
        <v>1</v>
      </c>
    </row>
    <row r="333" spans="2:13" ht="15">
      <c r="B333" s="113" t="s">
        <v>401</v>
      </c>
      <c r="C333" s="114">
        <v>6</v>
      </c>
      <c r="D333" s="115">
        <v>2.64</v>
      </c>
      <c r="E333" s="116">
        <v>0.038976</v>
      </c>
      <c r="F333" s="118">
        <f>44000*E333</f>
        <v>1714.944</v>
      </c>
      <c r="G333" s="118">
        <f>44000*0.014*0.116/0.11</f>
        <v>649.6</v>
      </c>
      <c r="H333" s="118">
        <f>38500*E333</f>
        <v>1500.5759999999998</v>
      </c>
      <c r="I333" s="118">
        <f>38500*0.014*0.116/0.11</f>
        <v>568.4</v>
      </c>
      <c r="J333" s="117" t="s">
        <v>1</v>
      </c>
      <c r="K333" s="119" t="s">
        <v>1</v>
      </c>
      <c r="L333" s="117" t="s">
        <v>1</v>
      </c>
      <c r="M333" s="120" t="s">
        <v>1</v>
      </c>
    </row>
    <row r="334" spans="2:13" ht="15">
      <c r="B334" s="113" t="s">
        <v>456</v>
      </c>
      <c r="C334" s="114">
        <v>6</v>
      </c>
      <c r="D334" s="115">
        <v>2.106</v>
      </c>
      <c r="E334" s="116">
        <v>0.0308448</v>
      </c>
      <c r="F334" s="117" t="s">
        <v>1</v>
      </c>
      <c r="G334" s="118" t="s">
        <v>1</v>
      </c>
      <c r="H334" s="118">
        <f>43000*E334</f>
        <v>1326.3264</v>
      </c>
      <c r="I334" s="118">
        <f>43000*0.014*0.136/0.13</f>
        <v>629.7846153846153</v>
      </c>
      <c r="J334" s="117" t="s">
        <v>1</v>
      </c>
      <c r="K334" s="119" t="s">
        <v>1</v>
      </c>
      <c r="L334" s="117" t="s">
        <v>1</v>
      </c>
      <c r="M334" s="120" t="s">
        <v>1</v>
      </c>
    </row>
    <row r="335" spans="2:13" ht="15">
      <c r="B335" s="113" t="s">
        <v>457</v>
      </c>
      <c r="C335" s="114">
        <v>6</v>
      </c>
      <c r="D335" s="115">
        <v>2.34</v>
      </c>
      <c r="E335" s="116">
        <v>0.034272</v>
      </c>
      <c r="F335" s="117" t="s">
        <v>1</v>
      </c>
      <c r="G335" s="118" t="s">
        <v>1</v>
      </c>
      <c r="H335" s="118">
        <f>43000*E335</f>
        <v>1473.696</v>
      </c>
      <c r="I335" s="118">
        <f>43000*0.014*0.136/0.13</f>
        <v>629.7846153846153</v>
      </c>
      <c r="J335" s="117" t="s">
        <v>1</v>
      </c>
      <c r="K335" s="119" t="s">
        <v>1</v>
      </c>
      <c r="L335" s="117" t="s">
        <v>1</v>
      </c>
      <c r="M335" s="120" t="s">
        <v>1</v>
      </c>
    </row>
    <row r="336" spans="2:13" ht="15">
      <c r="B336" s="113" t="s">
        <v>458</v>
      </c>
      <c r="C336" s="114">
        <v>6</v>
      </c>
      <c r="D336" s="115">
        <v>3.12</v>
      </c>
      <c r="E336" s="116">
        <v>0.045696</v>
      </c>
      <c r="F336" s="117" t="s">
        <v>1</v>
      </c>
      <c r="G336" s="118" t="s">
        <v>1</v>
      </c>
      <c r="H336" s="118">
        <f>43000*E336</f>
        <v>1964.928</v>
      </c>
      <c r="I336" s="118">
        <f>43000*0.014*0.136/0.13</f>
        <v>629.7846153846153</v>
      </c>
      <c r="J336" s="117" t="s">
        <v>1</v>
      </c>
      <c r="K336" s="119" t="s">
        <v>1</v>
      </c>
      <c r="L336" s="117" t="s">
        <v>1</v>
      </c>
      <c r="M336" s="120" t="s">
        <v>1</v>
      </c>
    </row>
    <row r="337" spans="2:13" ht="15">
      <c r="B337" s="355" t="s">
        <v>465</v>
      </c>
      <c r="C337" s="356"/>
      <c r="D337" s="356"/>
      <c r="E337" s="357"/>
      <c r="F337" s="719">
        <v>44000</v>
      </c>
      <c r="G337" s="720"/>
      <c r="H337" s="468">
        <v>38500</v>
      </c>
      <c r="I337" s="469"/>
      <c r="J337" s="719" t="s">
        <v>1</v>
      </c>
      <c r="K337" s="720"/>
      <c r="L337" s="719" t="s">
        <v>1</v>
      </c>
      <c r="M337" s="736"/>
    </row>
    <row r="338" spans="2:13" ht="15.75" thickBot="1">
      <c r="B338" s="194" t="s">
        <v>471</v>
      </c>
      <c r="C338" s="195"/>
      <c r="D338" s="195"/>
      <c r="E338" s="196"/>
      <c r="F338" s="693" t="s">
        <v>1</v>
      </c>
      <c r="G338" s="695"/>
      <c r="H338" s="197">
        <v>43000</v>
      </c>
      <c r="I338" s="198"/>
      <c r="J338" s="693" t="s">
        <v>1</v>
      </c>
      <c r="K338" s="695"/>
      <c r="L338" s="693" t="s">
        <v>1</v>
      </c>
      <c r="M338" s="694"/>
    </row>
    <row r="339" spans="2:13" ht="13.5" customHeight="1">
      <c r="B339" s="121"/>
      <c r="C339" s="121"/>
      <c r="D339" s="122"/>
      <c r="E339" s="123"/>
      <c r="F339" s="124"/>
      <c r="G339" s="125"/>
      <c r="H339" s="124"/>
      <c r="I339" s="125"/>
      <c r="J339" s="124"/>
      <c r="K339" s="126"/>
      <c r="L339" s="124"/>
      <c r="M339" s="125"/>
    </row>
    <row r="340" spans="2:13" ht="15.75" thickBot="1">
      <c r="B340" s="41"/>
      <c r="C340" s="41"/>
      <c r="D340" s="41"/>
      <c r="E340" s="41"/>
      <c r="F340" s="41"/>
      <c r="G340" s="36"/>
      <c r="H340" s="36"/>
      <c r="I340" s="36"/>
      <c r="J340" s="36"/>
      <c r="K340" s="36"/>
      <c r="L340" s="36"/>
      <c r="M340" s="36"/>
    </row>
    <row r="341" spans="2:13" ht="15.75">
      <c r="B341" s="632" t="s">
        <v>259</v>
      </c>
      <c r="C341" s="633"/>
      <c r="D341" s="633"/>
      <c r="E341" s="633"/>
      <c r="F341" s="633"/>
      <c r="G341" s="633"/>
      <c r="H341" s="633"/>
      <c r="I341" s="633"/>
      <c r="J341" s="633"/>
      <c r="K341" s="633"/>
      <c r="L341" s="633"/>
      <c r="M341" s="634"/>
    </row>
    <row r="342" spans="2:13" ht="15">
      <c r="B342" s="339" t="s">
        <v>191</v>
      </c>
      <c r="C342" s="334" t="s">
        <v>192</v>
      </c>
      <c r="D342" s="334"/>
      <c r="E342" s="334"/>
      <c r="F342" s="334"/>
      <c r="G342" s="310" t="s">
        <v>253</v>
      </c>
      <c r="H342" s="311"/>
      <c r="I342" s="311"/>
      <c r="J342" s="311"/>
      <c r="K342" s="311"/>
      <c r="L342" s="311"/>
      <c r="M342" s="336"/>
    </row>
    <row r="343" spans="2:13" ht="15">
      <c r="B343" s="339"/>
      <c r="C343" s="334"/>
      <c r="D343" s="334"/>
      <c r="E343" s="334"/>
      <c r="F343" s="334"/>
      <c r="G343" s="334" t="s">
        <v>250</v>
      </c>
      <c r="H343" s="334"/>
      <c r="I343" s="334"/>
      <c r="J343" s="334"/>
      <c r="K343" s="235" t="s">
        <v>251</v>
      </c>
      <c r="L343" s="525"/>
      <c r="M343" s="526"/>
    </row>
    <row r="344" spans="2:13" ht="15.75" thickBot="1">
      <c r="B344" s="31">
        <v>4</v>
      </c>
      <c r="C344" s="533" t="s">
        <v>252</v>
      </c>
      <c r="D344" s="533"/>
      <c r="E344" s="533"/>
      <c r="F344" s="533"/>
      <c r="G344" s="234">
        <v>55000</v>
      </c>
      <c r="H344" s="234"/>
      <c r="I344" s="234"/>
      <c r="J344" s="234"/>
      <c r="K344" s="304">
        <v>39000</v>
      </c>
      <c r="L344" s="305"/>
      <c r="M344" s="534"/>
    </row>
    <row r="345" spans="2:13" ht="15.75" thickBot="1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</row>
    <row r="346" spans="2:13" ht="15">
      <c r="B346" s="530" t="s">
        <v>339</v>
      </c>
      <c r="C346" s="531"/>
      <c r="D346" s="531"/>
      <c r="E346" s="531"/>
      <c r="F346" s="531"/>
      <c r="G346" s="531"/>
      <c r="H346" s="531"/>
      <c r="I346" s="531"/>
      <c r="J346" s="531"/>
      <c r="K346" s="531"/>
      <c r="L346" s="531"/>
      <c r="M346" s="532"/>
    </row>
    <row r="347" spans="2:13" ht="15">
      <c r="B347" s="181" t="s">
        <v>130</v>
      </c>
      <c r="C347" s="168"/>
      <c r="D347" s="168" t="s">
        <v>127</v>
      </c>
      <c r="E347" s="168" t="s">
        <v>113</v>
      </c>
      <c r="F347" s="168"/>
      <c r="G347" s="168"/>
      <c r="H347" s="168" t="s">
        <v>161</v>
      </c>
      <c r="I347" s="168"/>
      <c r="J347" s="458" t="s">
        <v>222</v>
      </c>
      <c r="K347" s="459"/>
      <c r="L347" s="459"/>
      <c r="M347" s="460"/>
    </row>
    <row r="348" spans="2:13" ht="15">
      <c r="B348" s="181"/>
      <c r="C348" s="168"/>
      <c r="D348" s="168"/>
      <c r="E348" s="168"/>
      <c r="F348" s="168"/>
      <c r="G348" s="168"/>
      <c r="H348" s="168"/>
      <c r="I348" s="168"/>
      <c r="J348" s="461"/>
      <c r="K348" s="462"/>
      <c r="L348" s="462"/>
      <c r="M348" s="463"/>
    </row>
    <row r="349" spans="2:13" ht="15.75" thickBot="1">
      <c r="B349" s="223" t="s">
        <v>10</v>
      </c>
      <c r="C349" s="224"/>
      <c r="D349" s="155"/>
      <c r="E349" s="168" t="s">
        <v>521</v>
      </c>
      <c r="F349" s="168"/>
      <c r="G349" s="168"/>
      <c r="H349" s="713" t="s">
        <v>392</v>
      </c>
      <c r="I349" s="714"/>
      <c r="J349" s="379" t="s">
        <v>461</v>
      </c>
      <c r="K349" s="380"/>
      <c r="L349" s="380"/>
      <c r="M349" s="381"/>
    </row>
    <row r="350" spans="2:13" ht="15">
      <c r="B350" s="348" t="s">
        <v>11</v>
      </c>
      <c r="C350" s="349"/>
      <c r="D350" s="156"/>
      <c r="E350" s="366" t="s">
        <v>520</v>
      </c>
      <c r="F350" s="366"/>
      <c r="G350" s="366"/>
      <c r="H350" s="715"/>
      <c r="I350" s="716"/>
      <c r="J350" s="367"/>
      <c r="K350" s="368"/>
      <c r="L350" s="368"/>
      <c r="M350" s="369"/>
    </row>
    <row r="351" spans="2:13" ht="15">
      <c r="B351" s="223" t="s">
        <v>12</v>
      </c>
      <c r="C351" s="224"/>
      <c r="D351" s="155"/>
      <c r="E351" s="172" t="s">
        <v>519</v>
      </c>
      <c r="F351" s="172"/>
      <c r="G351" s="172"/>
      <c r="H351" s="715"/>
      <c r="I351" s="716"/>
      <c r="J351" s="370"/>
      <c r="K351" s="371"/>
      <c r="L351" s="371"/>
      <c r="M351" s="372"/>
    </row>
    <row r="352" spans="2:13" ht="15">
      <c r="B352" s="223" t="s">
        <v>13</v>
      </c>
      <c r="C352" s="224"/>
      <c r="D352" s="87"/>
      <c r="E352" s="172" t="s">
        <v>170</v>
      </c>
      <c r="F352" s="172"/>
      <c r="G352" s="172"/>
      <c r="H352" s="715"/>
      <c r="I352" s="716"/>
      <c r="J352" s="370"/>
      <c r="K352" s="371"/>
      <c r="L352" s="371"/>
      <c r="M352" s="372"/>
    </row>
    <row r="353" spans="2:13" ht="15">
      <c r="B353" s="205" t="s">
        <v>226</v>
      </c>
      <c r="C353" s="206"/>
      <c r="D353" s="88"/>
      <c r="E353" s="168" t="s">
        <v>205</v>
      </c>
      <c r="F353" s="168"/>
      <c r="G353" s="168"/>
      <c r="H353" s="715"/>
      <c r="I353" s="716"/>
      <c r="J353" s="370"/>
      <c r="K353" s="371"/>
      <c r="L353" s="371"/>
      <c r="M353" s="372"/>
    </row>
    <row r="354" spans="2:13" ht="15">
      <c r="B354" s="205" t="s">
        <v>15</v>
      </c>
      <c r="C354" s="206"/>
      <c r="D354" s="88"/>
      <c r="E354" s="168" t="s">
        <v>209</v>
      </c>
      <c r="F354" s="168"/>
      <c r="G354" s="168"/>
      <c r="H354" s="715"/>
      <c r="I354" s="716"/>
      <c r="J354" s="370"/>
      <c r="K354" s="371"/>
      <c r="L354" s="371"/>
      <c r="M354" s="372"/>
    </row>
    <row r="355" spans="2:13" ht="15">
      <c r="B355" s="205" t="s">
        <v>14</v>
      </c>
      <c r="C355" s="206"/>
      <c r="D355" s="88"/>
      <c r="E355" s="168" t="s">
        <v>206</v>
      </c>
      <c r="F355" s="168"/>
      <c r="G355" s="168"/>
      <c r="H355" s="715"/>
      <c r="I355" s="716"/>
      <c r="J355" s="370"/>
      <c r="K355" s="371"/>
      <c r="L355" s="371"/>
      <c r="M355" s="372"/>
    </row>
    <row r="356" spans="2:13" ht="15">
      <c r="B356" s="205" t="s">
        <v>210</v>
      </c>
      <c r="C356" s="206"/>
      <c r="D356" s="88"/>
      <c r="E356" s="168" t="s">
        <v>518</v>
      </c>
      <c r="F356" s="168"/>
      <c r="G356" s="168"/>
      <c r="H356" s="715"/>
      <c r="I356" s="716"/>
      <c r="J356" s="370"/>
      <c r="K356" s="371"/>
      <c r="L356" s="371"/>
      <c r="M356" s="372"/>
    </row>
    <row r="357" spans="2:13" ht="18.75" customHeight="1" thickBot="1">
      <c r="B357" s="242" t="s">
        <v>162</v>
      </c>
      <c r="C357" s="243"/>
      <c r="D357" s="90"/>
      <c r="E357" s="171" t="s">
        <v>517</v>
      </c>
      <c r="F357" s="171"/>
      <c r="G357" s="171"/>
      <c r="H357" s="717"/>
      <c r="I357" s="718"/>
      <c r="J357" s="373"/>
      <c r="K357" s="374"/>
      <c r="L357" s="374"/>
      <c r="M357" s="375"/>
    </row>
    <row r="358" ht="15.75" thickBot="1"/>
    <row r="359" spans="2:13" ht="15.75">
      <c r="B359" s="382" t="s">
        <v>322</v>
      </c>
      <c r="C359" s="383"/>
      <c r="D359" s="383"/>
      <c r="E359" s="383"/>
      <c r="F359" s="383"/>
      <c r="G359" s="383"/>
      <c r="H359" s="383"/>
      <c r="I359" s="383"/>
      <c r="J359" s="383"/>
      <c r="K359" s="383"/>
      <c r="L359" s="383"/>
      <c r="M359" s="384"/>
    </row>
    <row r="360" spans="2:13" ht="15.75" customHeight="1">
      <c r="B360" s="345" t="s">
        <v>306</v>
      </c>
      <c r="C360" s="346"/>
      <c r="D360" s="347"/>
      <c r="E360" s="354" t="s">
        <v>300</v>
      </c>
      <c r="F360" s="346"/>
      <c r="G360" s="346"/>
      <c r="H360" s="346"/>
      <c r="I360" s="346"/>
      <c r="J360" s="347"/>
      <c r="K360" s="407" t="s">
        <v>221</v>
      </c>
      <c r="L360" s="408"/>
      <c r="M360" s="409"/>
    </row>
    <row r="361" spans="2:13" ht="15">
      <c r="B361" s="452" t="s">
        <v>312</v>
      </c>
      <c r="C361" s="453"/>
      <c r="D361" s="454"/>
      <c r="E361" s="413" t="s">
        <v>301</v>
      </c>
      <c r="F361" s="414"/>
      <c r="G361" s="414"/>
      <c r="H361" s="414"/>
      <c r="I361" s="414"/>
      <c r="J361" s="415"/>
      <c r="K361" s="410">
        <v>52500</v>
      </c>
      <c r="L361" s="411"/>
      <c r="M361" s="412"/>
    </row>
    <row r="362" spans="2:13" ht="15">
      <c r="B362" s="527" t="s">
        <v>313</v>
      </c>
      <c r="C362" s="528"/>
      <c r="D362" s="529"/>
      <c r="E362" s="363" t="s">
        <v>302</v>
      </c>
      <c r="F362" s="364"/>
      <c r="G362" s="364"/>
      <c r="H362" s="364"/>
      <c r="I362" s="364"/>
      <c r="J362" s="365"/>
      <c r="K362" s="342">
        <v>56250</v>
      </c>
      <c r="L362" s="343"/>
      <c r="M362" s="344"/>
    </row>
    <row r="363" spans="2:13" ht="15.75" thickBot="1">
      <c r="B363" s="521" t="s">
        <v>314</v>
      </c>
      <c r="C363" s="522"/>
      <c r="D363" s="523"/>
      <c r="E363" s="515" t="s">
        <v>307</v>
      </c>
      <c r="F363" s="516"/>
      <c r="G363" s="516"/>
      <c r="H363" s="516"/>
      <c r="I363" s="516"/>
      <c r="J363" s="517"/>
      <c r="K363" s="404">
        <v>58750</v>
      </c>
      <c r="L363" s="405"/>
      <c r="M363" s="406"/>
    </row>
    <row r="364" spans="2:13" ht="15.75" thickBot="1">
      <c r="B364" s="76"/>
      <c r="C364" s="76"/>
      <c r="D364" s="77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2:13" ht="12.75" customHeight="1">
      <c r="B365" s="382" t="s">
        <v>323</v>
      </c>
      <c r="C365" s="383"/>
      <c r="D365" s="383"/>
      <c r="E365" s="383"/>
      <c r="F365" s="383"/>
      <c r="G365" s="383"/>
      <c r="H365" s="383"/>
      <c r="I365" s="383"/>
      <c r="J365" s="383"/>
      <c r="K365" s="383"/>
      <c r="L365" s="383"/>
      <c r="M365" s="384"/>
    </row>
    <row r="366" spans="2:13" ht="16.5">
      <c r="B366" s="345" t="s">
        <v>318</v>
      </c>
      <c r="C366" s="346"/>
      <c r="D366" s="347"/>
      <c r="E366" s="354" t="s">
        <v>319</v>
      </c>
      <c r="F366" s="346"/>
      <c r="G366" s="346"/>
      <c r="H366" s="346"/>
      <c r="I366" s="346"/>
      <c r="J366" s="347"/>
      <c r="K366" s="407" t="s">
        <v>221</v>
      </c>
      <c r="L366" s="408"/>
      <c r="M366" s="409"/>
    </row>
    <row r="367" spans="2:13" ht="15">
      <c r="B367" s="361" t="s">
        <v>317</v>
      </c>
      <c r="C367" s="362"/>
      <c r="D367" s="362"/>
      <c r="E367" s="441" t="s">
        <v>303</v>
      </c>
      <c r="F367" s="441"/>
      <c r="G367" s="441"/>
      <c r="H367" s="441"/>
      <c r="I367" s="441"/>
      <c r="J367" s="441"/>
      <c r="K367" s="410">
        <v>51250</v>
      </c>
      <c r="L367" s="411"/>
      <c r="M367" s="412"/>
    </row>
    <row r="368" spans="2:13" ht="15">
      <c r="B368" s="340" t="s">
        <v>316</v>
      </c>
      <c r="C368" s="341"/>
      <c r="D368" s="341"/>
      <c r="E368" s="167" t="s">
        <v>302</v>
      </c>
      <c r="F368" s="167"/>
      <c r="G368" s="167"/>
      <c r="H368" s="167"/>
      <c r="I368" s="167"/>
      <c r="J368" s="167"/>
      <c r="K368" s="342">
        <v>50000</v>
      </c>
      <c r="L368" s="343"/>
      <c r="M368" s="344"/>
    </row>
    <row r="369" spans="2:13" ht="15.75" thickBot="1">
      <c r="B369" s="492" t="s">
        <v>320</v>
      </c>
      <c r="C369" s="493"/>
      <c r="D369" s="493"/>
      <c r="E369" s="353" t="s">
        <v>304</v>
      </c>
      <c r="F369" s="353"/>
      <c r="G369" s="353"/>
      <c r="H369" s="353"/>
      <c r="I369" s="353"/>
      <c r="J369" s="353"/>
      <c r="K369" s="449">
        <v>51250</v>
      </c>
      <c r="L369" s="450"/>
      <c r="M369" s="451"/>
    </row>
    <row r="370" spans="2:13" ht="15" customHeight="1" thickBot="1">
      <c r="B370" s="78"/>
      <c r="C370" s="78"/>
      <c r="D370" s="79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2:13" ht="15.75">
      <c r="B371" s="382" t="s">
        <v>324</v>
      </c>
      <c r="C371" s="383"/>
      <c r="D371" s="383"/>
      <c r="E371" s="383"/>
      <c r="F371" s="383"/>
      <c r="G371" s="383"/>
      <c r="H371" s="383"/>
      <c r="I371" s="383"/>
      <c r="J371" s="383"/>
      <c r="K371" s="383"/>
      <c r="L371" s="383"/>
      <c r="M371" s="384"/>
    </row>
    <row r="372" spans="2:13" ht="15">
      <c r="B372" s="518" t="s">
        <v>305</v>
      </c>
      <c r="C372" s="519"/>
      <c r="D372" s="519"/>
      <c r="E372" s="519"/>
      <c r="F372" s="519"/>
      <c r="G372" s="519"/>
      <c r="H372" s="519"/>
      <c r="I372" s="519"/>
      <c r="J372" s="519"/>
      <c r="K372" s="519"/>
      <c r="L372" s="519"/>
      <c r="M372" s="520"/>
    </row>
    <row r="373" spans="2:13" ht="16.5">
      <c r="B373" s="524" t="s">
        <v>315</v>
      </c>
      <c r="C373" s="416"/>
      <c r="D373" s="416"/>
      <c r="E373" s="416" t="s">
        <v>319</v>
      </c>
      <c r="F373" s="416"/>
      <c r="G373" s="416"/>
      <c r="H373" s="416"/>
      <c r="I373" s="416"/>
      <c r="J373" s="416"/>
      <c r="K373" s="407" t="s">
        <v>321</v>
      </c>
      <c r="L373" s="408"/>
      <c r="M373" s="409"/>
    </row>
    <row r="374" spans="2:13" ht="15">
      <c r="B374" s="340" t="s">
        <v>311</v>
      </c>
      <c r="C374" s="341"/>
      <c r="D374" s="341"/>
      <c r="E374" s="167" t="s">
        <v>308</v>
      </c>
      <c r="F374" s="167"/>
      <c r="G374" s="167"/>
      <c r="H374" s="167"/>
      <c r="I374" s="167"/>
      <c r="J374" s="167"/>
      <c r="K374" s="342">
        <v>2750</v>
      </c>
      <c r="L374" s="343"/>
      <c r="M374" s="344"/>
    </row>
    <row r="375" spans="2:13" ht="15">
      <c r="B375" s="340" t="s">
        <v>311</v>
      </c>
      <c r="C375" s="341"/>
      <c r="D375" s="341"/>
      <c r="E375" s="167" t="s">
        <v>309</v>
      </c>
      <c r="F375" s="167"/>
      <c r="G375" s="167"/>
      <c r="H375" s="167"/>
      <c r="I375" s="167"/>
      <c r="J375" s="167"/>
      <c r="K375" s="342">
        <v>2750</v>
      </c>
      <c r="L375" s="343"/>
      <c r="M375" s="344"/>
    </row>
    <row r="376" spans="2:13" ht="15.75" thickBot="1">
      <c r="B376" s="492" t="s">
        <v>311</v>
      </c>
      <c r="C376" s="493"/>
      <c r="D376" s="493"/>
      <c r="E376" s="353" t="s">
        <v>310</v>
      </c>
      <c r="F376" s="353"/>
      <c r="G376" s="353"/>
      <c r="H376" s="353"/>
      <c r="I376" s="353"/>
      <c r="J376" s="353"/>
      <c r="K376" s="449">
        <v>2750</v>
      </c>
      <c r="L376" s="450"/>
      <c r="M376" s="451"/>
    </row>
    <row r="377" spans="2:13" ht="22.5" customHeight="1" thickBot="1"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</row>
    <row r="378" spans="2:13" ht="15.75">
      <c r="B378" s="512" t="s">
        <v>212</v>
      </c>
      <c r="C378" s="513"/>
      <c r="D378" s="513"/>
      <c r="E378" s="513"/>
      <c r="F378" s="513"/>
      <c r="G378" s="513"/>
      <c r="H378" s="513"/>
      <c r="I378" s="513"/>
      <c r="J378" s="513"/>
      <c r="K378" s="513"/>
      <c r="L378" s="513"/>
      <c r="M378" s="514"/>
    </row>
    <row r="379" spans="2:13" ht="15">
      <c r="B379" s="439" t="s">
        <v>184</v>
      </c>
      <c r="C379" s="440"/>
      <c r="D379" s="440"/>
      <c r="E379" s="440"/>
      <c r="F379" s="440"/>
      <c r="G379" s="277" t="s">
        <v>185</v>
      </c>
      <c r="H379" s="277"/>
      <c r="I379" s="277"/>
      <c r="J379" s="277"/>
      <c r="K379" s="421" t="s">
        <v>186</v>
      </c>
      <c r="L379" s="422"/>
      <c r="M379" s="423"/>
    </row>
    <row r="380" spans="2:13" ht="15">
      <c r="B380" s="350" t="s">
        <v>27</v>
      </c>
      <c r="C380" s="351"/>
      <c r="D380" s="351"/>
      <c r="E380" s="351"/>
      <c r="F380" s="351"/>
      <c r="G380" s="491">
        <v>157.2</v>
      </c>
      <c r="H380" s="491"/>
      <c r="I380" s="491"/>
      <c r="J380" s="491"/>
      <c r="K380" s="376" t="s">
        <v>26</v>
      </c>
      <c r="L380" s="377"/>
      <c r="M380" s="378"/>
    </row>
    <row r="381" spans="2:13" ht="15">
      <c r="B381" s="350" t="s">
        <v>28</v>
      </c>
      <c r="C381" s="351"/>
      <c r="D381" s="351"/>
      <c r="E381" s="351"/>
      <c r="F381" s="351"/>
      <c r="G381" s="491">
        <v>166.7</v>
      </c>
      <c r="H381" s="491"/>
      <c r="I381" s="491"/>
      <c r="J381" s="491"/>
      <c r="K381" s="376" t="s">
        <v>26</v>
      </c>
      <c r="L381" s="377"/>
      <c r="M381" s="378"/>
    </row>
    <row r="382" spans="2:13" ht="15">
      <c r="B382" s="350" t="s">
        <v>29</v>
      </c>
      <c r="C382" s="351"/>
      <c r="D382" s="351"/>
      <c r="E382" s="351"/>
      <c r="F382" s="351"/>
      <c r="G382" s="491">
        <v>192.19</v>
      </c>
      <c r="H382" s="491"/>
      <c r="I382" s="491"/>
      <c r="J382" s="491"/>
      <c r="K382" s="376" t="s">
        <v>26</v>
      </c>
      <c r="L382" s="377"/>
      <c r="M382" s="378"/>
    </row>
    <row r="383" spans="2:13" ht="15">
      <c r="B383" s="350" t="s">
        <v>30</v>
      </c>
      <c r="C383" s="351"/>
      <c r="D383" s="351"/>
      <c r="E383" s="351"/>
      <c r="F383" s="351"/>
      <c r="G383" s="491">
        <v>211.53</v>
      </c>
      <c r="H383" s="491"/>
      <c r="I383" s="491"/>
      <c r="J383" s="491"/>
      <c r="K383" s="376" t="s">
        <v>26</v>
      </c>
      <c r="L383" s="377"/>
      <c r="M383" s="378"/>
    </row>
    <row r="384" spans="2:13" ht="15.75" customHeight="1">
      <c r="B384" s="350" t="s">
        <v>31</v>
      </c>
      <c r="C384" s="351"/>
      <c r="D384" s="351"/>
      <c r="E384" s="351"/>
      <c r="F384" s="351"/>
      <c r="G384" s="491">
        <v>1640</v>
      </c>
      <c r="H384" s="491"/>
      <c r="I384" s="491"/>
      <c r="J384" s="491"/>
      <c r="K384" s="376" t="s">
        <v>26</v>
      </c>
      <c r="L384" s="377"/>
      <c r="M384" s="378"/>
    </row>
    <row r="385" spans="2:13" ht="15">
      <c r="B385" s="350" t="s">
        <v>32</v>
      </c>
      <c r="C385" s="351"/>
      <c r="D385" s="351"/>
      <c r="E385" s="351"/>
      <c r="F385" s="351"/>
      <c r="G385" s="491">
        <v>550</v>
      </c>
      <c r="H385" s="491"/>
      <c r="I385" s="491"/>
      <c r="J385" s="491"/>
      <c r="K385" s="376" t="s">
        <v>26</v>
      </c>
      <c r="L385" s="377"/>
      <c r="M385" s="378"/>
    </row>
    <row r="386" spans="2:13" ht="15">
      <c r="B386" s="350" t="s">
        <v>33</v>
      </c>
      <c r="C386" s="351"/>
      <c r="D386" s="351"/>
      <c r="E386" s="351"/>
      <c r="F386" s="351"/>
      <c r="G386" s="491">
        <v>218</v>
      </c>
      <c r="H386" s="491"/>
      <c r="I386" s="491"/>
      <c r="J386" s="491"/>
      <c r="K386" s="376" t="s">
        <v>26</v>
      </c>
      <c r="L386" s="377"/>
      <c r="M386" s="378"/>
    </row>
    <row r="387" spans="2:13" ht="15">
      <c r="B387" s="350" t="s">
        <v>34</v>
      </c>
      <c r="C387" s="351"/>
      <c r="D387" s="351"/>
      <c r="E387" s="351"/>
      <c r="F387" s="351"/>
      <c r="G387" s="491">
        <v>1873</v>
      </c>
      <c r="H387" s="491"/>
      <c r="I387" s="491"/>
      <c r="J387" s="491"/>
      <c r="K387" s="376" t="s">
        <v>26</v>
      </c>
      <c r="L387" s="377"/>
      <c r="M387" s="378"/>
    </row>
    <row r="388" spans="2:13" ht="15">
      <c r="B388" s="350" t="s">
        <v>35</v>
      </c>
      <c r="C388" s="351"/>
      <c r="D388" s="351"/>
      <c r="E388" s="351"/>
      <c r="F388" s="351"/>
      <c r="G388" s="491">
        <v>630</v>
      </c>
      <c r="H388" s="491"/>
      <c r="I388" s="491"/>
      <c r="J388" s="491"/>
      <c r="K388" s="376" t="s">
        <v>26</v>
      </c>
      <c r="L388" s="377"/>
      <c r="M388" s="378"/>
    </row>
    <row r="389" spans="2:13" ht="15">
      <c r="B389" s="350" t="s">
        <v>36</v>
      </c>
      <c r="C389" s="351"/>
      <c r="D389" s="351"/>
      <c r="E389" s="351"/>
      <c r="F389" s="351"/>
      <c r="G389" s="491">
        <v>218</v>
      </c>
      <c r="H389" s="491"/>
      <c r="I389" s="491"/>
      <c r="J389" s="491"/>
      <c r="K389" s="376" t="s">
        <v>26</v>
      </c>
      <c r="L389" s="377"/>
      <c r="M389" s="378"/>
    </row>
    <row r="390" spans="2:13" ht="15">
      <c r="B390" s="350" t="s">
        <v>41</v>
      </c>
      <c r="C390" s="351"/>
      <c r="D390" s="351"/>
      <c r="E390" s="351"/>
      <c r="F390" s="351"/>
      <c r="G390" s="491">
        <v>218</v>
      </c>
      <c r="H390" s="491"/>
      <c r="I390" s="491"/>
      <c r="J390" s="491"/>
      <c r="K390" s="376" t="s">
        <v>26</v>
      </c>
      <c r="L390" s="377"/>
      <c r="M390" s="378"/>
    </row>
    <row r="391" spans="2:13" ht="15">
      <c r="B391" s="350" t="s">
        <v>37</v>
      </c>
      <c r="C391" s="351"/>
      <c r="D391" s="351"/>
      <c r="E391" s="351"/>
      <c r="F391" s="351"/>
      <c r="G391" s="491">
        <v>1873</v>
      </c>
      <c r="H391" s="491"/>
      <c r="I391" s="491"/>
      <c r="J391" s="491"/>
      <c r="K391" s="376" t="s">
        <v>26</v>
      </c>
      <c r="L391" s="377"/>
      <c r="M391" s="378"/>
    </row>
    <row r="392" spans="2:13" ht="15">
      <c r="B392" s="350" t="s">
        <v>38</v>
      </c>
      <c r="C392" s="351"/>
      <c r="D392" s="351"/>
      <c r="E392" s="351"/>
      <c r="F392" s="351"/>
      <c r="G392" s="491">
        <v>630</v>
      </c>
      <c r="H392" s="491"/>
      <c r="I392" s="491"/>
      <c r="J392" s="491"/>
      <c r="K392" s="376" t="s">
        <v>26</v>
      </c>
      <c r="L392" s="377"/>
      <c r="M392" s="378"/>
    </row>
    <row r="393" spans="2:13" ht="15">
      <c r="B393" s="350" t="s">
        <v>39</v>
      </c>
      <c r="C393" s="351"/>
      <c r="D393" s="351"/>
      <c r="E393" s="351"/>
      <c r="F393" s="351"/>
      <c r="G393" s="491">
        <v>218</v>
      </c>
      <c r="H393" s="491"/>
      <c r="I393" s="491"/>
      <c r="J393" s="491"/>
      <c r="K393" s="376" t="s">
        <v>26</v>
      </c>
      <c r="L393" s="377"/>
      <c r="M393" s="378"/>
    </row>
    <row r="394" spans="2:13" ht="15">
      <c r="B394" s="350" t="s">
        <v>40</v>
      </c>
      <c r="C394" s="351"/>
      <c r="D394" s="351"/>
      <c r="E394" s="351"/>
      <c r="F394" s="351"/>
      <c r="G394" s="491">
        <v>1873</v>
      </c>
      <c r="H394" s="491"/>
      <c r="I394" s="491"/>
      <c r="J394" s="491"/>
      <c r="K394" s="376" t="s">
        <v>26</v>
      </c>
      <c r="L394" s="377"/>
      <c r="M394" s="378"/>
    </row>
    <row r="395" spans="2:13" ht="15">
      <c r="B395" s="350" t="s">
        <v>42</v>
      </c>
      <c r="C395" s="351"/>
      <c r="D395" s="351"/>
      <c r="E395" s="351"/>
      <c r="F395" s="351"/>
      <c r="G395" s="491">
        <v>630</v>
      </c>
      <c r="H395" s="491"/>
      <c r="I395" s="491"/>
      <c r="J395" s="491"/>
      <c r="K395" s="376" t="s">
        <v>26</v>
      </c>
      <c r="L395" s="377"/>
      <c r="M395" s="378"/>
    </row>
    <row r="396" spans="2:13" ht="15">
      <c r="B396" s="350" t="s">
        <v>43</v>
      </c>
      <c r="C396" s="351"/>
      <c r="D396" s="351"/>
      <c r="E396" s="351"/>
      <c r="F396" s="351"/>
      <c r="G396" s="491">
        <v>218</v>
      </c>
      <c r="H396" s="491"/>
      <c r="I396" s="491"/>
      <c r="J396" s="491"/>
      <c r="K396" s="376" t="s">
        <v>26</v>
      </c>
      <c r="L396" s="377"/>
      <c r="M396" s="378"/>
    </row>
    <row r="397" spans="2:13" ht="15.75" customHeight="1">
      <c r="B397" s="350" t="s">
        <v>44</v>
      </c>
      <c r="C397" s="351"/>
      <c r="D397" s="351"/>
      <c r="E397" s="351"/>
      <c r="F397" s="351"/>
      <c r="G397" s="491">
        <v>1873</v>
      </c>
      <c r="H397" s="491"/>
      <c r="I397" s="491"/>
      <c r="J397" s="491"/>
      <c r="K397" s="376" t="s">
        <v>26</v>
      </c>
      <c r="L397" s="377"/>
      <c r="M397" s="378"/>
    </row>
    <row r="398" spans="2:13" ht="15.75" customHeight="1">
      <c r="B398" s="350" t="s">
        <v>45</v>
      </c>
      <c r="C398" s="351"/>
      <c r="D398" s="351"/>
      <c r="E398" s="351"/>
      <c r="F398" s="351"/>
      <c r="G398" s="491">
        <v>630</v>
      </c>
      <c r="H398" s="491"/>
      <c r="I398" s="491"/>
      <c r="J398" s="491"/>
      <c r="K398" s="376" t="s">
        <v>26</v>
      </c>
      <c r="L398" s="377"/>
      <c r="M398" s="378"/>
    </row>
    <row r="399" spans="2:13" ht="15">
      <c r="B399" s="350" t="s">
        <v>46</v>
      </c>
      <c r="C399" s="351"/>
      <c r="D399" s="351"/>
      <c r="E399" s="351"/>
      <c r="F399" s="351"/>
      <c r="G399" s="491">
        <v>218</v>
      </c>
      <c r="H399" s="491"/>
      <c r="I399" s="491"/>
      <c r="J399" s="491"/>
      <c r="K399" s="376" t="s">
        <v>26</v>
      </c>
      <c r="L399" s="377"/>
      <c r="M399" s="378"/>
    </row>
    <row r="400" spans="2:13" ht="15">
      <c r="B400" s="350" t="s">
        <v>47</v>
      </c>
      <c r="C400" s="351"/>
      <c r="D400" s="351"/>
      <c r="E400" s="351"/>
      <c r="F400" s="351"/>
      <c r="G400" s="491">
        <v>1873</v>
      </c>
      <c r="H400" s="491"/>
      <c r="I400" s="491"/>
      <c r="J400" s="491"/>
      <c r="K400" s="376" t="s">
        <v>26</v>
      </c>
      <c r="L400" s="377"/>
      <c r="M400" s="378"/>
    </row>
    <row r="401" spans="2:13" ht="15">
      <c r="B401" s="350" t="s">
        <v>48</v>
      </c>
      <c r="C401" s="351"/>
      <c r="D401" s="351"/>
      <c r="E401" s="351"/>
      <c r="F401" s="351"/>
      <c r="G401" s="491">
        <v>630</v>
      </c>
      <c r="H401" s="491"/>
      <c r="I401" s="491"/>
      <c r="J401" s="491"/>
      <c r="K401" s="376" t="s">
        <v>26</v>
      </c>
      <c r="L401" s="377"/>
      <c r="M401" s="378"/>
    </row>
    <row r="402" spans="2:13" ht="15">
      <c r="B402" s="350" t="s">
        <v>49</v>
      </c>
      <c r="C402" s="351"/>
      <c r="D402" s="351"/>
      <c r="E402" s="351"/>
      <c r="F402" s="351"/>
      <c r="G402" s="491">
        <v>218</v>
      </c>
      <c r="H402" s="491"/>
      <c r="I402" s="491"/>
      <c r="J402" s="491"/>
      <c r="K402" s="376" t="s">
        <v>26</v>
      </c>
      <c r="L402" s="377"/>
      <c r="M402" s="378"/>
    </row>
    <row r="403" spans="2:13" ht="15">
      <c r="B403" s="350" t="s">
        <v>50</v>
      </c>
      <c r="C403" s="351"/>
      <c r="D403" s="351"/>
      <c r="E403" s="351"/>
      <c r="F403" s="351"/>
      <c r="G403" s="491">
        <v>1873</v>
      </c>
      <c r="H403" s="491"/>
      <c r="I403" s="491"/>
      <c r="J403" s="491"/>
      <c r="K403" s="376" t="s">
        <v>26</v>
      </c>
      <c r="L403" s="377"/>
      <c r="M403" s="378"/>
    </row>
    <row r="404" spans="2:13" ht="15">
      <c r="B404" s="350" t="s">
        <v>51</v>
      </c>
      <c r="C404" s="351"/>
      <c r="D404" s="351"/>
      <c r="E404" s="351"/>
      <c r="F404" s="351"/>
      <c r="G404" s="491">
        <v>630</v>
      </c>
      <c r="H404" s="491"/>
      <c r="I404" s="491"/>
      <c r="J404" s="491"/>
      <c r="K404" s="376" t="s">
        <v>26</v>
      </c>
      <c r="L404" s="377"/>
      <c r="M404" s="378"/>
    </row>
    <row r="405" spans="2:13" ht="15">
      <c r="B405" s="350" t="s">
        <v>52</v>
      </c>
      <c r="C405" s="351"/>
      <c r="D405" s="351"/>
      <c r="E405" s="351"/>
      <c r="F405" s="351"/>
      <c r="G405" s="491">
        <v>218</v>
      </c>
      <c r="H405" s="491"/>
      <c r="I405" s="491"/>
      <c r="J405" s="491"/>
      <c r="K405" s="376" t="s">
        <v>26</v>
      </c>
      <c r="L405" s="377"/>
      <c r="M405" s="378"/>
    </row>
    <row r="406" spans="2:13" ht="15">
      <c r="B406" s="350" t="s">
        <v>53</v>
      </c>
      <c r="C406" s="351"/>
      <c r="D406" s="351"/>
      <c r="E406" s="351"/>
      <c r="F406" s="351"/>
      <c r="G406" s="491">
        <v>1873</v>
      </c>
      <c r="H406" s="491"/>
      <c r="I406" s="491"/>
      <c r="J406" s="491"/>
      <c r="K406" s="376" t="s">
        <v>26</v>
      </c>
      <c r="L406" s="377"/>
      <c r="M406" s="378"/>
    </row>
    <row r="407" spans="2:13" ht="15">
      <c r="B407" s="350" t="s">
        <v>54</v>
      </c>
      <c r="C407" s="351"/>
      <c r="D407" s="351"/>
      <c r="E407" s="351"/>
      <c r="F407" s="351"/>
      <c r="G407" s="491">
        <v>630</v>
      </c>
      <c r="H407" s="491"/>
      <c r="I407" s="491"/>
      <c r="J407" s="491"/>
      <c r="K407" s="376" t="s">
        <v>26</v>
      </c>
      <c r="L407" s="377"/>
      <c r="M407" s="378"/>
    </row>
    <row r="408" spans="2:13" ht="15">
      <c r="B408" s="350" t="s">
        <v>55</v>
      </c>
      <c r="C408" s="351"/>
      <c r="D408" s="351"/>
      <c r="E408" s="351"/>
      <c r="F408" s="351"/>
      <c r="G408" s="491">
        <v>218</v>
      </c>
      <c r="H408" s="491"/>
      <c r="I408" s="491"/>
      <c r="J408" s="491"/>
      <c r="K408" s="376" t="s">
        <v>26</v>
      </c>
      <c r="L408" s="377"/>
      <c r="M408" s="378"/>
    </row>
    <row r="409" spans="2:13" ht="15">
      <c r="B409" s="350" t="s">
        <v>56</v>
      </c>
      <c r="C409" s="351"/>
      <c r="D409" s="351"/>
      <c r="E409" s="351"/>
      <c r="F409" s="351"/>
      <c r="G409" s="491">
        <v>1873</v>
      </c>
      <c r="H409" s="491"/>
      <c r="I409" s="491"/>
      <c r="J409" s="491"/>
      <c r="K409" s="376" t="s">
        <v>26</v>
      </c>
      <c r="L409" s="377"/>
      <c r="M409" s="378"/>
    </row>
    <row r="410" spans="2:13" ht="15">
      <c r="B410" s="350" t="s">
        <v>57</v>
      </c>
      <c r="C410" s="351"/>
      <c r="D410" s="351"/>
      <c r="E410" s="351"/>
      <c r="F410" s="351"/>
      <c r="G410" s="491">
        <v>630</v>
      </c>
      <c r="H410" s="491"/>
      <c r="I410" s="491"/>
      <c r="J410" s="491"/>
      <c r="K410" s="376" t="s">
        <v>26</v>
      </c>
      <c r="L410" s="377"/>
      <c r="M410" s="378"/>
    </row>
    <row r="411" spans="2:13" ht="15">
      <c r="B411" s="350" t="s">
        <v>58</v>
      </c>
      <c r="C411" s="351"/>
      <c r="D411" s="351"/>
      <c r="E411" s="351"/>
      <c r="F411" s="351"/>
      <c r="G411" s="491">
        <v>218</v>
      </c>
      <c r="H411" s="491"/>
      <c r="I411" s="491"/>
      <c r="J411" s="491"/>
      <c r="K411" s="376" t="s">
        <v>26</v>
      </c>
      <c r="L411" s="377"/>
      <c r="M411" s="378"/>
    </row>
    <row r="412" spans="2:13" ht="15">
      <c r="B412" s="350" t="s">
        <v>59</v>
      </c>
      <c r="C412" s="351"/>
      <c r="D412" s="351"/>
      <c r="E412" s="351"/>
      <c r="F412" s="351"/>
      <c r="G412" s="491">
        <v>1873</v>
      </c>
      <c r="H412" s="491"/>
      <c r="I412" s="491"/>
      <c r="J412" s="491"/>
      <c r="K412" s="376" t="s">
        <v>26</v>
      </c>
      <c r="L412" s="377"/>
      <c r="M412" s="378"/>
    </row>
    <row r="413" spans="2:13" ht="15">
      <c r="B413" s="350" t="s">
        <v>60</v>
      </c>
      <c r="C413" s="351"/>
      <c r="D413" s="351"/>
      <c r="E413" s="351"/>
      <c r="F413" s="351"/>
      <c r="G413" s="491">
        <v>630</v>
      </c>
      <c r="H413" s="491"/>
      <c r="I413" s="491"/>
      <c r="J413" s="491"/>
      <c r="K413" s="376" t="s">
        <v>26</v>
      </c>
      <c r="L413" s="377"/>
      <c r="M413" s="378"/>
    </row>
    <row r="414" spans="2:13" ht="15">
      <c r="B414" s="350" t="s">
        <v>61</v>
      </c>
      <c r="C414" s="351"/>
      <c r="D414" s="351"/>
      <c r="E414" s="351"/>
      <c r="F414" s="351"/>
      <c r="G414" s="491">
        <v>218</v>
      </c>
      <c r="H414" s="491"/>
      <c r="I414" s="491"/>
      <c r="J414" s="491"/>
      <c r="K414" s="376" t="s">
        <v>26</v>
      </c>
      <c r="L414" s="377"/>
      <c r="M414" s="378"/>
    </row>
    <row r="415" spans="2:13" ht="15">
      <c r="B415" s="350" t="s">
        <v>62</v>
      </c>
      <c r="C415" s="351"/>
      <c r="D415" s="351"/>
      <c r="E415" s="351"/>
      <c r="F415" s="351"/>
      <c r="G415" s="491">
        <v>1873</v>
      </c>
      <c r="H415" s="491"/>
      <c r="I415" s="491"/>
      <c r="J415" s="491"/>
      <c r="K415" s="376" t="s">
        <v>26</v>
      </c>
      <c r="L415" s="377"/>
      <c r="M415" s="378"/>
    </row>
    <row r="416" spans="2:13" ht="15">
      <c r="B416" s="350" t="s">
        <v>63</v>
      </c>
      <c r="C416" s="351"/>
      <c r="D416" s="351"/>
      <c r="E416" s="351"/>
      <c r="F416" s="351"/>
      <c r="G416" s="491">
        <v>630</v>
      </c>
      <c r="H416" s="491"/>
      <c r="I416" s="491"/>
      <c r="J416" s="491"/>
      <c r="K416" s="376" t="s">
        <v>26</v>
      </c>
      <c r="L416" s="377"/>
      <c r="M416" s="378"/>
    </row>
    <row r="417" spans="2:13" ht="15">
      <c r="B417" s="350" t="s">
        <v>64</v>
      </c>
      <c r="C417" s="351"/>
      <c r="D417" s="351"/>
      <c r="E417" s="351"/>
      <c r="F417" s="351"/>
      <c r="G417" s="491">
        <v>257</v>
      </c>
      <c r="H417" s="491"/>
      <c r="I417" s="491"/>
      <c r="J417" s="491"/>
      <c r="K417" s="376" t="s">
        <v>26</v>
      </c>
      <c r="L417" s="377"/>
      <c r="M417" s="378"/>
    </row>
    <row r="418" spans="2:13" ht="15">
      <c r="B418" s="350" t="s">
        <v>65</v>
      </c>
      <c r="C418" s="351"/>
      <c r="D418" s="351"/>
      <c r="E418" s="351"/>
      <c r="F418" s="351"/>
      <c r="G418" s="491">
        <v>745</v>
      </c>
      <c r="H418" s="491"/>
      <c r="I418" s="491"/>
      <c r="J418" s="491"/>
      <c r="K418" s="376" t="s">
        <v>26</v>
      </c>
      <c r="L418" s="377"/>
      <c r="M418" s="378"/>
    </row>
    <row r="419" spans="2:13" ht="15">
      <c r="B419" s="350" t="s">
        <v>66</v>
      </c>
      <c r="C419" s="351"/>
      <c r="D419" s="351"/>
      <c r="E419" s="351"/>
      <c r="F419" s="351"/>
      <c r="G419" s="491">
        <v>257</v>
      </c>
      <c r="H419" s="491"/>
      <c r="I419" s="491"/>
      <c r="J419" s="491"/>
      <c r="K419" s="376" t="s">
        <v>26</v>
      </c>
      <c r="L419" s="377"/>
      <c r="M419" s="378"/>
    </row>
    <row r="420" spans="2:13" ht="15">
      <c r="B420" s="350" t="s">
        <v>67</v>
      </c>
      <c r="C420" s="351"/>
      <c r="D420" s="351"/>
      <c r="E420" s="351"/>
      <c r="F420" s="351"/>
      <c r="G420" s="491">
        <v>745</v>
      </c>
      <c r="H420" s="491"/>
      <c r="I420" s="491"/>
      <c r="J420" s="491"/>
      <c r="K420" s="376" t="s">
        <v>26</v>
      </c>
      <c r="L420" s="377"/>
      <c r="M420" s="378"/>
    </row>
    <row r="421" spans="2:13" ht="15">
      <c r="B421" s="350" t="s">
        <v>68</v>
      </c>
      <c r="C421" s="351"/>
      <c r="D421" s="351"/>
      <c r="E421" s="351"/>
      <c r="F421" s="351"/>
      <c r="G421" s="491">
        <v>257</v>
      </c>
      <c r="H421" s="491"/>
      <c r="I421" s="491"/>
      <c r="J421" s="491"/>
      <c r="K421" s="376" t="s">
        <v>26</v>
      </c>
      <c r="L421" s="377"/>
      <c r="M421" s="378"/>
    </row>
    <row r="422" spans="2:13" ht="15">
      <c r="B422" s="350" t="s">
        <v>69</v>
      </c>
      <c r="C422" s="351"/>
      <c r="D422" s="351"/>
      <c r="E422" s="351"/>
      <c r="F422" s="351"/>
      <c r="G422" s="491">
        <v>745</v>
      </c>
      <c r="H422" s="491"/>
      <c r="I422" s="491"/>
      <c r="J422" s="491"/>
      <c r="K422" s="376" t="s">
        <v>26</v>
      </c>
      <c r="L422" s="377"/>
      <c r="M422" s="378"/>
    </row>
    <row r="423" spans="2:13" ht="15">
      <c r="B423" s="350" t="s">
        <v>70</v>
      </c>
      <c r="C423" s="351"/>
      <c r="D423" s="351"/>
      <c r="E423" s="351"/>
      <c r="F423" s="351"/>
      <c r="G423" s="491">
        <v>257</v>
      </c>
      <c r="H423" s="491"/>
      <c r="I423" s="491"/>
      <c r="J423" s="491"/>
      <c r="K423" s="376" t="s">
        <v>26</v>
      </c>
      <c r="L423" s="377"/>
      <c r="M423" s="378"/>
    </row>
    <row r="424" spans="2:13" ht="15">
      <c r="B424" s="350" t="s">
        <v>71</v>
      </c>
      <c r="C424" s="351"/>
      <c r="D424" s="351"/>
      <c r="E424" s="351"/>
      <c r="F424" s="351"/>
      <c r="G424" s="491">
        <v>745</v>
      </c>
      <c r="H424" s="491"/>
      <c r="I424" s="491"/>
      <c r="J424" s="491"/>
      <c r="K424" s="376" t="s">
        <v>26</v>
      </c>
      <c r="L424" s="377"/>
      <c r="M424" s="378"/>
    </row>
    <row r="425" spans="2:13" ht="15">
      <c r="B425" s="350" t="s">
        <v>72</v>
      </c>
      <c r="C425" s="351"/>
      <c r="D425" s="351"/>
      <c r="E425" s="351"/>
      <c r="F425" s="351"/>
      <c r="G425" s="491">
        <v>257</v>
      </c>
      <c r="H425" s="491"/>
      <c r="I425" s="491"/>
      <c r="J425" s="491"/>
      <c r="K425" s="376" t="s">
        <v>26</v>
      </c>
      <c r="L425" s="377"/>
      <c r="M425" s="378"/>
    </row>
    <row r="426" spans="2:13" ht="15">
      <c r="B426" s="350" t="s">
        <v>73</v>
      </c>
      <c r="C426" s="351"/>
      <c r="D426" s="351"/>
      <c r="E426" s="351"/>
      <c r="F426" s="351"/>
      <c r="G426" s="491">
        <v>745</v>
      </c>
      <c r="H426" s="491"/>
      <c r="I426" s="491"/>
      <c r="J426" s="491"/>
      <c r="K426" s="376" t="s">
        <v>26</v>
      </c>
      <c r="L426" s="377"/>
      <c r="M426" s="378"/>
    </row>
    <row r="427" spans="2:13" ht="15">
      <c r="B427" s="350" t="s">
        <v>74</v>
      </c>
      <c r="C427" s="351"/>
      <c r="D427" s="351"/>
      <c r="E427" s="351"/>
      <c r="F427" s="351"/>
      <c r="G427" s="491">
        <v>257</v>
      </c>
      <c r="H427" s="491"/>
      <c r="I427" s="491"/>
      <c r="J427" s="491"/>
      <c r="K427" s="376" t="s">
        <v>26</v>
      </c>
      <c r="L427" s="377"/>
      <c r="M427" s="378"/>
    </row>
    <row r="428" spans="2:13" ht="15">
      <c r="B428" s="350" t="s">
        <v>75</v>
      </c>
      <c r="C428" s="351"/>
      <c r="D428" s="351"/>
      <c r="E428" s="351"/>
      <c r="F428" s="351"/>
      <c r="G428" s="491">
        <v>745</v>
      </c>
      <c r="H428" s="491"/>
      <c r="I428" s="491"/>
      <c r="J428" s="491"/>
      <c r="K428" s="376" t="s">
        <v>26</v>
      </c>
      <c r="L428" s="377"/>
      <c r="M428" s="378"/>
    </row>
    <row r="429" spans="2:13" ht="15">
      <c r="B429" s="350" t="s">
        <v>76</v>
      </c>
      <c r="C429" s="351"/>
      <c r="D429" s="351"/>
      <c r="E429" s="351"/>
      <c r="F429" s="351"/>
      <c r="G429" s="491">
        <v>257</v>
      </c>
      <c r="H429" s="491"/>
      <c r="I429" s="491"/>
      <c r="J429" s="491"/>
      <c r="K429" s="376" t="s">
        <v>26</v>
      </c>
      <c r="L429" s="377"/>
      <c r="M429" s="378"/>
    </row>
    <row r="430" spans="2:13" ht="15">
      <c r="B430" s="350" t="s">
        <v>77</v>
      </c>
      <c r="C430" s="351"/>
      <c r="D430" s="351"/>
      <c r="E430" s="351"/>
      <c r="F430" s="351"/>
      <c r="G430" s="491">
        <v>745</v>
      </c>
      <c r="H430" s="491"/>
      <c r="I430" s="491"/>
      <c r="J430" s="491"/>
      <c r="K430" s="376" t="s">
        <v>26</v>
      </c>
      <c r="L430" s="377"/>
      <c r="M430" s="378"/>
    </row>
    <row r="431" spans="2:13" ht="15">
      <c r="B431" s="350" t="s">
        <v>78</v>
      </c>
      <c r="C431" s="351"/>
      <c r="D431" s="351"/>
      <c r="E431" s="351"/>
      <c r="F431" s="351"/>
      <c r="G431" s="491">
        <v>257</v>
      </c>
      <c r="H431" s="491"/>
      <c r="I431" s="491"/>
      <c r="J431" s="491"/>
      <c r="K431" s="376" t="s">
        <v>26</v>
      </c>
      <c r="L431" s="377"/>
      <c r="M431" s="378"/>
    </row>
    <row r="432" spans="2:13" ht="15">
      <c r="B432" s="350" t="s">
        <v>79</v>
      </c>
      <c r="C432" s="351"/>
      <c r="D432" s="351"/>
      <c r="E432" s="351"/>
      <c r="F432" s="351"/>
      <c r="G432" s="491">
        <v>745</v>
      </c>
      <c r="H432" s="491"/>
      <c r="I432" s="491"/>
      <c r="J432" s="491"/>
      <c r="K432" s="376" t="s">
        <v>26</v>
      </c>
      <c r="L432" s="377"/>
      <c r="M432" s="378"/>
    </row>
    <row r="433" spans="2:13" ht="15">
      <c r="B433" s="350" t="s">
        <v>297</v>
      </c>
      <c r="C433" s="351"/>
      <c r="D433" s="351"/>
      <c r="E433" s="351"/>
      <c r="F433" s="351"/>
      <c r="G433" s="506">
        <v>214.4</v>
      </c>
      <c r="H433" s="507"/>
      <c r="I433" s="507"/>
      <c r="J433" s="508"/>
      <c r="K433" s="376" t="s">
        <v>26</v>
      </c>
      <c r="L433" s="377"/>
      <c r="M433" s="378"/>
    </row>
    <row r="434" spans="2:13" ht="15">
      <c r="B434" s="350" t="s">
        <v>298</v>
      </c>
      <c r="C434" s="351"/>
      <c r="D434" s="351"/>
      <c r="E434" s="351"/>
      <c r="F434" s="351"/>
      <c r="G434" s="491">
        <v>332.16</v>
      </c>
      <c r="H434" s="491"/>
      <c r="I434" s="491"/>
      <c r="J434" s="491"/>
      <c r="K434" s="376" t="s">
        <v>26</v>
      </c>
      <c r="L434" s="377"/>
      <c r="M434" s="378"/>
    </row>
    <row r="435" spans="2:13" ht="15">
      <c r="B435" s="509" t="s">
        <v>417</v>
      </c>
      <c r="C435" s="510"/>
      <c r="D435" s="510"/>
      <c r="E435" s="510"/>
      <c r="F435" s="511"/>
      <c r="G435" s="506">
        <v>307.2</v>
      </c>
      <c r="H435" s="507"/>
      <c r="I435" s="507"/>
      <c r="J435" s="508"/>
      <c r="K435" s="376" t="s">
        <v>26</v>
      </c>
      <c r="L435" s="377"/>
      <c r="M435" s="378"/>
    </row>
    <row r="436" spans="2:13" ht="15">
      <c r="B436" s="350" t="s">
        <v>80</v>
      </c>
      <c r="C436" s="351"/>
      <c r="D436" s="351"/>
      <c r="E436" s="351"/>
      <c r="F436" s="351"/>
      <c r="G436" s="491">
        <v>60</v>
      </c>
      <c r="H436" s="491"/>
      <c r="I436" s="491"/>
      <c r="J436" s="491"/>
      <c r="K436" s="376" t="s">
        <v>26</v>
      </c>
      <c r="L436" s="377"/>
      <c r="M436" s="378"/>
    </row>
    <row r="437" spans="2:13" ht="15">
      <c r="B437" s="350" t="s">
        <v>81</v>
      </c>
      <c r="C437" s="351"/>
      <c r="D437" s="351"/>
      <c r="E437" s="351"/>
      <c r="F437" s="351"/>
      <c r="G437" s="491">
        <v>60</v>
      </c>
      <c r="H437" s="491"/>
      <c r="I437" s="491"/>
      <c r="J437" s="491"/>
      <c r="K437" s="376" t="s">
        <v>26</v>
      </c>
      <c r="L437" s="377"/>
      <c r="M437" s="378"/>
    </row>
    <row r="438" spans="2:13" ht="15.75" thickBot="1">
      <c r="B438" s="495" t="s">
        <v>82</v>
      </c>
      <c r="C438" s="496"/>
      <c r="D438" s="496"/>
      <c r="E438" s="496"/>
      <c r="F438" s="496"/>
      <c r="G438" s="388">
        <v>60</v>
      </c>
      <c r="H438" s="388"/>
      <c r="I438" s="388"/>
      <c r="J438" s="388"/>
      <c r="K438" s="455" t="s">
        <v>26</v>
      </c>
      <c r="L438" s="456"/>
      <c r="M438" s="457"/>
    </row>
    <row r="439" spans="2:13" ht="15.75" thickBot="1">
      <c r="B439" s="61"/>
      <c r="C439" s="61"/>
      <c r="D439" s="61"/>
      <c r="E439" s="61"/>
      <c r="F439" s="61"/>
      <c r="G439" s="62"/>
      <c r="H439" s="62"/>
      <c r="I439" s="62"/>
      <c r="J439" s="62"/>
      <c r="K439" s="63"/>
      <c r="L439" s="63"/>
      <c r="M439" s="63"/>
    </row>
    <row r="440" spans="2:13" ht="15.75">
      <c r="B440" s="497" t="s">
        <v>213</v>
      </c>
      <c r="C440" s="498"/>
      <c r="D440" s="498"/>
      <c r="E440" s="498"/>
      <c r="F440" s="498"/>
      <c r="G440" s="498"/>
      <c r="H440" s="498"/>
      <c r="I440" s="498"/>
      <c r="J440" s="498"/>
      <c r="K440" s="498"/>
      <c r="L440" s="498"/>
      <c r="M440" s="499"/>
    </row>
    <row r="441" spans="2:13" ht="15">
      <c r="B441" s="500" t="s">
        <v>184</v>
      </c>
      <c r="C441" s="501"/>
      <c r="D441" s="501"/>
      <c r="E441" s="501"/>
      <c r="F441" s="501"/>
      <c r="G441" s="502" t="s">
        <v>185</v>
      </c>
      <c r="H441" s="502"/>
      <c r="I441" s="502"/>
      <c r="J441" s="502"/>
      <c r="K441" s="503" t="s">
        <v>186</v>
      </c>
      <c r="L441" s="504"/>
      <c r="M441" s="505"/>
    </row>
    <row r="442" spans="2:13" ht="15">
      <c r="B442" s="697" t="s">
        <v>435</v>
      </c>
      <c r="C442" s="698"/>
      <c r="D442" s="698"/>
      <c r="E442" s="698"/>
      <c r="F442" s="699"/>
      <c r="G442" s="431">
        <v>1062</v>
      </c>
      <c r="H442" s="432"/>
      <c r="I442" s="432"/>
      <c r="J442" s="433"/>
      <c r="K442" s="322" t="s">
        <v>83</v>
      </c>
      <c r="L442" s="417"/>
      <c r="M442" s="418"/>
    </row>
    <row r="443" spans="2:13" ht="15">
      <c r="B443" s="697" t="s">
        <v>436</v>
      </c>
      <c r="C443" s="698"/>
      <c r="D443" s="698"/>
      <c r="E443" s="698"/>
      <c r="F443" s="699"/>
      <c r="G443" s="431">
        <v>774</v>
      </c>
      <c r="H443" s="432"/>
      <c r="I443" s="432"/>
      <c r="J443" s="433"/>
      <c r="K443" s="322" t="s">
        <v>83</v>
      </c>
      <c r="L443" s="417"/>
      <c r="M443" s="418"/>
    </row>
    <row r="444" spans="2:13" ht="15">
      <c r="B444" s="697" t="s">
        <v>437</v>
      </c>
      <c r="C444" s="698"/>
      <c r="D444" s="698"/>
      <c r="E444" s="698"/>
      <c r="F444" s="699"/>
      <c r="G444" s="431">
        <v>1062</v>
      </c>
      <c r="H444" s="432"/>
      <c r="I444" s="432"/>
      <c r="J444" s="433"/>
      <c r="K444" s="322" t="s">
        <v>83</v>
      </c>
      <c r="L444" s="417"/>
      <c r="M444" s="418"/>
    </row>
    <row r="445" spans="1:13" ht="15">
      <c r="A445" s="1"/>
      <c r="B445" s="697" t="s">
        <v>438</v>
      </c>
      <c r="C445" s="698"/>
      <c r="D445" s="698"/>
      <c r="E445" s="698"/>
      <c r="F445" s="699"/>
      <c r="G445" s="431">
        <v>1104</v>
      </c>
      <c r="H445" s="432"/>
      <c r="I445" s="432"/>
      <c r="J445" s="433"/>
      <c r="K445" s="322" t="s">
        <v>83</v>
      </c>
      <c r="L445" s="417"/>
      <c r="M445" s="418"/>
    </row>
    <row r="446" spans="1:13" ht="15">
      <c r="A446" s="1"/>
      <c r="B446" s="275" t="s">
        <v>90</v>
      </c>
      <c r="C446" s="276"/>
      <c r="D446" s="276"/>
      <c r="E446" s="276"/>
      <c r="F446" s="276"/>
      <c r="G446" s="430">
        <v>1120</v>
      </c>
      <c r="H446" s="430"/>
      <c r="I446" s="430"/>
      <c r="J446" s="430"/>
      <c r="K446" s="322" t="s">
        <v>83</v>
      </c>
      <c r="L446" s="417"/>
      <c r="M446" s="418"/>
    </row>
    <row r="447" spans="1:13" ht="15">
      <c r="A447" s="1"/>
      <c r="B447" s="275" t="s">
        <v>91</v>
      </c>
      <c r="C447" s="276"/>
      <c r="D447" s="276"/>
      <c r="E447" s="276"/>
      <c r="F447" s="276"/>
      <c r="G447" s="430">
        <v>800</v>
      </c>
      <c r="H447" s="430"/>
      <c r="I447" s="430"/>
      <c r="J447" s="430"/>
      <c r="K447" s="322" t="s">
        <v>83</v>
      </c>
      <c r="L447" s="417"/>
      <c r="M447" s="418"/>
    </row>
    <row r="448" spans="1:13" ht="15">
      <c r="A448" s="1"/>
      <c r="B448" s="275" t="s">
        <v>92</v>
      </c>
      <c r="C448" s="276"/>
      <c r="D448" s="276"/>
      <c r="E448" s="276"/>
      <c r="F448" s="276"/>
      <c r="G448" s="430">
        <v>1120</v>
      </c>
      <c r="H448" s="430"/>
      <c r="I448" s="430"/>
      <c r="J448" s="430"/>
      <c r="K448" s="322" t="s">
        <v>83</v>
      </c>
      <c r="L448" s="417"/>
      <c r="M448" s="418"/>
    </row>
    <row r="449" spans="1:13" ht="15">
      <c r="A449" s="1"/>
      <c r="B449" s="275" t="s">
        <v>93</v>
      </c>
      <c r="C449" s="276"/>
      <c r="D449" s="276"/>
      <c r="E449" s="276"/>
      <c r="F449" s="276"/>
      <c r="G449" s="430">
        <v>676</v>
      </c>
      <c r="H449" s="430"/>
      <c r="I449" s="430"/>
      <c r="J449" s="430"/>
      <c r="K449" s="322" t="s">
        <v>83</v>
      </c>
      <c r="L449" s="417"/>
      <c r="M449" s="418"/>
    </row>
    <row r="450" spans="1:13" ht="15">
      <c r="A450" s="1"/>
      <c r="B450" s="275" t="s">
        <v>94</v>
      </c>
      <c r="C450" s="276"/>
      <c r="D450" s="276"/>
      <c r="E450" s="276"/>
      <c r="F450" s="276"/>
      <c r="G450" s="430">
        <v>1680</v>
      </c>
      <c r="H450" s="430"/>
      <c r="I450" s="430"/>
      <c r="J450" s="430"/>
      <c r="K450" s="322" t="s">
        <v>83</v>
      </c>
      <c r="L450" s="417"/>
      <c r="M450" s="418"/>
    </row>
    <row r="451" spans="1:13" ht="15">
      <c r="A451" s="1"/>
      <c r="B451" s="275" t="s">
        <v>256</v>
      </c>
      <c r="C451" s="276"/>
      <c r="D451" s="276"/>
      <c r="E451" s="276"/>
      <c r="F451" s="276"/>
      <c r="G451" s="430">
        <v>1320</v>
      </c>
      <c r="H451" s="430"/>
      <c r="I451" s="430"/>
      <c r="J451" s="430"/>
      <c r="K451" s="322" t="s">
        <v>83</v>
      </c>
      <c r="L451" s="417"/>
      <c r="M451" s="418"/>
    </row>
    <row r="452" spans="1:13" ht="15.75" thickBot="1">
      <c r="A452" s="1"/>
      <c r="B452" s="237" t="s">
        <v>95</v>
      </c>
      <c r="C452" s="238"/>
      <c r="D452" s="238"/>
      <c r="E452" s="238"/>
      <c r="F452" s="238"/>
      <c r="G452" s="420">
        <v>1754.5</v>
      </c>
      <c r="H452" s="420"/>
      <c r="I452" s="420"/>
      <c r="J452" s="420"/>
      <c r="K452" s="424" t="s">
        <v>83</v>
      </c>
      <c r="L452" s="425"/>
      <c r="M452" s="426"/>
    </row>
    <row r="453" spans="1:13" ht="15.75" thickBot="1">
      <c r="A453" s="1"/>
      <c r="B453" s="14"/>
      <c r="C453" s="14"/>
      <c r="D453" s="14"/>
      <c r="E453" s="14"/>
      <c r="F453" s="14"/>
      <c r="G453" s="15"/>
      <c r="H453" s="15"/>
      <c r="I453" s="15"/>
      <c r="J453" s="15"/>
      <c r="K453" s="16"/>
      <c r="L453" s="16"/>
      <c r="M453" s="16"/>
    </row>
    <row r="454" spans="1:13" ht="15.75">
      <c r="A454" s="1"/>
      <c r="B454" s="446" t="s">
        <v>214</v>
      </c>
      <c r="C454" s="447"/>
      <c r="D454" s="447"/>
      <c r="E454" s="447"/>
      <c r="F454" s="447"/>
      <c r="G454" s="447"/>
      <c r="H454" s="447"/>
      <c r="I454" s="447"/>
      <c r="J454" s="447"/>
      <c r="K454" s="447"/>
      <c r="L454" s="447"/>
      <c r="M454" s="448"/>
    </row>
    <row r="455" spans="1:13" ht="15">
      <c r="A455" s="1"/>
      <c r="B455" s="439" t="s">
        <v>184</v>
      </c>
      <c r="C455" s="440"/>
      <c r="D455" s="440"/>
      <c r="E455" s="440"/>
      <c r="F455" s="440"/>
      <c r="G455" s="277" t="s">
        <v>185</v>
      </c>
      <c r="H455" s="277"/>
      <c r="I455" s="277"/>
      <c r="J455" s="277"/>
      <c r="K455" s="421" t="s">
        <v>186</v>
      </c>
      <c r="L455" s="422"/>
      <c r="M455" s="423"/>
    </row>
    <row r="456" spans="1:13" ht="15">
      <c r="A456" s="1"/>
      <c r="B456" s="223" t="s">
        <v>97</v>
      </c>
      <c r="C456" s="224"/>
      <c r="D456" s="224"/>
      <c r="E456" s="224"/>
      <c r="F456" s="224"/>
      <c r="G456" s="429">
        <v>15</v>
      </c>
      <c r="H456" s="494"/>
      <c r="I456" s="494"/>
      <c r="J456" s="494"/>
      <c r="K456" s="413" t="s">
        <v>96</v>
      </c>
      <c r="L456" s="414"/>
      <c r="M456" s="419"/>
    </row>
    <row r="457" spans="1:13" ht="15">
      <c r="A457" s="1"/>
      <c r="B457" s="223" t="s">
        <v>98</v>
      </c>
      <c r="C457" s="224"/>
      <c r="D457" s="224"/>
      <c r="E457" s="224"/>
      <c r="F457" s="224"/>
      <c r="G457" s="429">
        <v>10.9</v>
      </c>
      <c r="H457" s="494"/>
      <c r="I457" s="494"/>
      <c r="J457" s="494"/>
      <c r="K457" s="413" t="s">
        <v>26</v>
      </c>
      <c r="L457" s="414"/>
      <c r="M457" s="419"/>
    </row>
    <row r="458" spans="1:13" ht="15">
      <c r="A458" s="1"/>
      <c r="B458" s="223" t="s">
        <v>99</v>
      </c>
      <c r="C458" s="224"/>
      <c r="D458" s="224"/>
      <c r="E458" s="224"/>
      <c r="F458" s="224"/>
      <c r="G458" s="429">
        <v>13.6</v>
      </c>
      <c r="H458" s="494"/>
      <c r="I458" s="494"/>
      <c r="J458" s="494"/>
      <c r="K458" s="413" t="s">
        <v>26</v>
      </c>
      <c r="L458" s="414"/>
      <c r="M458" s="419"/>
    </row>
    <row r="459" spans="1:13" ht="15">
      <c r="A459" s="1"/>
      <c r="B459" s="223" t="s">
        <v>100</v>
      </c>
      <c r="C459" s="224"/>
      <c r="D459" s="224"/>
      <c r="E459" s="224"/>
      <c r="F459" s="224"/>
      <c r="G459" s="429">
        <v>19.2</v>
      </c>
      <c r="H459" s="494"/>
      <c r="I459" s="494"/>
      <c r="J459" s="494"/>
      <c r="K459" s="413" t="s">
        <v>26</v>
      </c>
      <c r="L459" s="414"/>
      <c r="M459" s="419"/>
    </row>
    <row r="460" spans="1:13" ht="15">
      <c r="A460" s="1"/>
      <c r="B460" s="223" t="s">
        <v>101</v>
      </c>
      <c r="C460" s="224"/>
      <c r="D460" s="224"/>
      <c r="E460" s="224"/>
      <c r="F460" s="224"/>
      <c r="G460" s="429">
        <v>22.5</v>
      </c>
      <c r="H460" s="494"/>
      <c r="I460" s="494"/>
      <c r="J460" s="494"/>
      <c r="K460" s="413" t="s">
        <v>26</v>
      </c>
      <c r="L460" s="414"/>
      <c r="M460" s="419"/>
    </row>
    <row r="461" spans="1:13" ht="15">
      <c r="A461" s="1"/>
      <c r="B461" s="223" t="s">
        <v>102</v>
      </c>
      <c r="C461" s="224"/>
      <c r="D461" s="224"/>
      <c r="E461" s="224"/>
      <c r="F461" s="224"/>
      <c r="G461" s="429">
        <v>33</v>
      </c>
      <c r="H461" s="494"/>
      <c r="I461" s="494"/>
      <c r="J461" s="494"/>
      <c r="K461" s="413" t="s">
        <v>26</v>
      </c>
      <c r="L461" s="414"/>
      <c r="M461" s="419"/>
    </row>
    <row r="462" spans="1:13" ht="15">
      <c r="A462" s="1"/>
      <c r="B462" s="223" t="s">
        <v>103</v>
      </c>
      <c r="C462" s="224"/>
      <c r="D462" s="224"/>
      <c r="E462" s="224"/>
      <c r="F462" s="224"/>
      <c r="G462" s="429">
        <v>60</v>
      </c>
      <c r="H462" s="494"/>
      <c r="I462" s="494"/>
      <c r="J462" s="494"/>
      <c r="K462" s="413" t="s">
        <v>26</v>
      </c>
      <c r="L462" s="414"/>
      <c r="M462" s="419"/>
    </row>
    <row r="463" spans="1:13" ht="15">
      <c r="A463" s="1"/>
      <c r="B463" s="223" t="s">
        <v>104</v>
      </c>
      <c r="C463" s="224"/>
      <c r="D463" s="224"/>
      <c r="E463" s="224"/>
      <c r="F463" s="224"/>
      <c r="G463" s="429">
        <v>90.8</v>
      </c>
      <c r="H463" s="494"/>
      <c r="I463" s="494"/>
      <c r="J463" s="494"/>
      <c r="K463" s="413" t="s">
        <v>26</v>
      </c>
      <c r="L463" s="414"/>
      <c r="M463" s="419"/>
    </row>
    <row r="464" spans="1:13" ht="15">
      <c r="A464" s="1"/>
      <c r="B464" s="223" t="s">
        <v>105</v>
      </c>
      <c r="C464" s="224"/>
      <c r="D464" s="224"/>
      <c r="E464" s="224"/>
      <c r="F464" s="224"/>
      <c r="G464" s="429">
        <v>129.1</v>
      </c>
      <c r="H464" s="494"/>
      <c r="I464" s="494"/>
      <c r="J464" s="494"/>
      <c r="K464" s="413" t="s">
        <v>26</v>
      </c>
      <c r="L464" s="414"/>
      <c r="M464" s="419"/>
    </row>
    <row r="465" spans="1:13" ht="15">
      <c r="A465" s="1"/>
      <c r="B465" s="223" t="s">
        <v>106</v>
      </c>
      <c r="C465" s="224"/>
      <c r="D465" s="224"/>
      <c r="E465" s="224"/>
      <c r="F465" s="224"/>
      <c r="G465" s="429">
        <v>23.8</v>
      </c>
      <c r="H465" s="429"/>
      <c r="I465" s="429"/>
      <c r="J465" s="429"/>
      <c r="K465" s="413" t="s">
        <v>26</v>
      </c>
      <c r="L465" s="414"/>
      <c r="M465" s="419"/>
    </row>
    <row r="466" spans="1:13" ht="15">
      <c r="A466" s="1"/>
      <c r="B466" s="223" t="s">
        <v>279</v>
      </c>
      <c r="C466" s="224"/>
      <c r="D466" s="224"/>
      <c r="E466" s="224"/>
      <c r="F466" s="224"/>
      <c r="G466" s="429">
        <v>15</v>
      </c>
      <c r="H466" s="494"/>
      <c r="I466" s="494"/>
      <c r="J466" s="494"/>
      <c r="K466" s="413" t="s">
        <v>26</v>
      </c>
      <c r="L466" s="414"/>
      <c r="M466" s="419"/>
    </row>
    <row r="467" spans="1:13" ht="15.75" thickBot="1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5.75">
      <c r="A468" s="1"/>
      <c r="B468" s="446" t="s">
        <v>215</v>
      </c>
      <c r="C468" s="447"/>
      <c r="D468" s="447"/>
      <c r="E468" s="447"/>
      <c r="F468" s="447"/>
      <c r="G468" s="447"/>
      <c r="H468" s="447"/>
      <c r="I468" s="447"/>
      <c r="J468" s="447"/>
      <c r="K468" s="447"/>
      <c r="L468" s="447"/>
      <c r="M468" s="448"/>
    </row>
    <row r="469" spans="1:13" ht="15">
      <c r="A469" s="1"/>
      <c r="B469" s="439" t="s">
        <v>184</v>
      </c>
      <c r="C469" s="440"/>
      <c r="D469" s="440"/>
      <c r="E469" s="440"/>
      <c r="F469" s="440"/>
      <c r="G469" s="277" t="s">
        <v>185</v>
      </c>
      <c r="H469" s="277"/>
      <c r="I469" s="277"/>
      <c r="J469" s="277"/>
      <c r="K469" s="421" t="s">
        <v>186</v>
      </c>
      <c r="L469" s="422"/>
      <c r="M469" s="423"/>
    </row>
    <row r="470" spans="1:13" ht="15">
      <c r="A470" s="1"/>
      <c r="B470" s="275" t="s">
        <v>84</v>
      </c>
      <c r="C470" s="276"/>
      <c r="D470" s="276"/>
      <c r="E470" s="276"/>
      <c r="F470" s="276"/>
      <c r="G470" s="430">
        <v>40</v>
      </c>
      <c r="H470" s="430"/>
      <c r="I470" s="430"/>
      <c r="J470" s="430"/>
      <c r="K470" s="322" t="s">
        <v>83</v>
      </c>
      <c r="L470" s="417"/>
      <c r="M470" s="418"/>
    </row>
    <row r="471" spans="1:13" ht="15">
      <c r="A471" s="1"/>
      <c r="B471" s="275" t="s">
        <v>85</v>
      </c>
      <c r="C471" s="276"/>
      <c r="D471" s="276"/>
      <c r="E471" s="276"/>
      <c r="F471" s="276"/>
      <c r="G471" s="430">
        <v>40</v>
      </c>
      <c r="H471" s="430"/>
      <c r="I471" s="430"/>
      <c r="J471" s="430"/>
      <c r="K471" s="322" t="s">
        <v>83</v>
      </c>
      <c r="L471" s="417"/>
      <c r="M471" s="418"/>
    </row>
    <row r="472" spans="1:13" ht="15">
      <c r="A472" s="1"/>
      <c r="B472" s="275" t="s">
        <v>86</v>
      </c>
      <c r="C472" s="276"/>
      <c r="D472" s="276"/>
      <c r="E472" s="276"/>
      <c r="F472" s="276"/>
      <c r="G472" s="430">
        <v>40</v>
      </c>
      <c r="H472" s="430"/>
      <c r="I472" s="430"/>
      <c r="J472" s="430"/>
      <c r="K472" s="322" t="s">
        <v>83</v>
      </c>
      <c r="L472" s="417"/>
      <c r="M472" s="418"/>
    </row>
    <row r="473" spans="1:13" ht="15">
      <c r="A473" s="1"/>
      <c r="B473" s="275" t="s">
        <v>87</v>
      </c>
      <c r="C473" s="276"/>
      <c r="D473" s="276"/>
      <c r="E473" s="276"/>
      <c r="F473" s="276"/>
      <c r="G473" s="430">
        <v>40</v>
      </c>
      <c r="H473" s="430"/>
      <c r="I473" s="430"/>
      <c r="J473" s="430"/>
      <c r="K473" s="322" t="s">
        <v>83</v>
      </c>
      <c r="L473" s="417"/>
      <c r="M473" s="418"/>
    </row>
    <row r="474" spans="1:13" ht="15">
      <c r="A474" s="1"/>
      <c r="B474" s="275" t="s">
        <v>88</v>
      </c>
      <c r="C474" s="276"/>
      <c r="D474" s="276"/>
      <c r="E474" s="276"/>
      <c r="F474" s="276"/>
      <c r="G474" s="430">
        <v>40</v>
      </c>
      <c r="H474" s="430"/>
      <c r="I474" s="430"/>
      <c r="J474" s="430"/>
      <c r="K474" s="322" t="s">
        <v>83</v>
      </c>
      <c r="L474" s="417"/>
      <c r="M474" s="418"/>
    </row>
    <row r="475" spans="1:13" ht="15.75" thickBot="1">
      <c r="A475" s="1"/>
      <c r="B475" s="237" t="s">
        <v>89</v>
      </c>
      <c r="C475" s="238"/>
      <c r="D475" s="238"/>
      <c r="E475" s="238"/>
      <c r="F475" s="238"/>
      <c r="G475" s="420">
        <v>40</v>
      </c>
      <c r="H475" s="420"/>
      <c r="I475" s="420"/>
      <c r="J475" s="420"/>
      <c r="K475" s="424" t="s">
        <v>83</v>
      </c>
      <c r="L475" s="425"/>
      <c r="M475" s="426"/>
    </row>
    <row r="476" spans="1:13" ht="15.75" thickBot="1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5.75">
      <c r="A477" s="1"/>
      <c r="B477" s="446" t="s">
        <v>187</v>
      </c>
      <c r="C477" s="447"/>
      <c r="D477" s="447"/>
      <c r="E477" s="447"/>
      <c r="F477" s="447"/>
      <c r="G477" s="447"/>
      <c r="H477" s="447"/>
      <c r="I477" s="447"/>
      <c r="J477" s="447"/>
      <c r="K477" s="447"/>
      <c r="L477" s="447"/>
      <c r="M477" s="448"/>
    </row>
    <row r="478" spans="1:13" ht="15">
      <c r="A478" s="1"/>
      <c r="B478" s="439" t="s">
        <v>184</v>
      </c>
      <c r="C478" s="440"/>
      <c r="D478" s="440"/>
      <c r="E478" s="440"/>
      <c r="F478" s="440"/>
      <c r="G478" s="277" t="s">
        <v>185</v>
      </c>
      <c r="H478" s="277"/>
      <c r="I478" s="277"/>
      <c r="J478" s="277"/>
      <c r="K478" s="421" t="s">
        <v>186</v>
      </c>
      <c r="L478" s="422"/>
      <c r="M478" s="423"/>
    </row>
    <row r="479" spans="1:13" ht="15">
      <c r="A479" s="1"/>
      <c r="B479" s="539" t="s">
        <v>296</v>
      </c>
      <c r="C479" s="679"/>
      <c r="D479" s="679"/>
      <c r="E479" s="679"/>
      <c r="F479" s="540"/>
      <c r="G479" s="410">
        <v>50</v>
      </c>
      <c r="H479" s="411"/>
      <c r="I479" s="411"/>
      <c r="J479" s="442"/>
      <c r="K479" s="413" t="s">
        <v>26</v>
      </c>
      <c r="L479" s="414"/>
      <c r="M479" s="419"/>
    </row>
    <row r="480" spans="1:13" ht="15">
      <c r="A480" s="1"/>
      <c r="B480" s="223" t="s">
        <v>107</v>
      </c>
      <c r="C480" s="224"/>
      <c r="D480" s="224"/>
      <c r="E480" s="224"/>
      <c r="F480" s="224"/>
      <c r="G480" s="429">
        <v>190</v>
      </c>
      <c r="H480" s="429"/>
      <c r="I480" s="429"/>
      <c r="J480" s="429"/>
      <c r="K480" s="413" t="s">
        <v>26</v>
      </c>
      <c r="L480" s="414"/>
      <c r="M480" s="419"/>
    </row>
    <row r="481" spans="1:13" ht="15">
      <c r="A481" s="1"/>
      <c r="B481" s="223" t="s">
        <v>108</v>
      </c>
      <c r="C481" s="224"/>
      <c r="D481" s="224"/>
      <c r="E481" s="224"/>
      <c r="F481" s="224"/>
      <c r="G481" s="429">
        <v>25</v>
      </c>
      <c r="H481" s="429"/>
      <c r="I481" s="429"/>
      <c r="J481" s="429"/>
      <c r="K481" s="413" t="s">
        <v>26</v>
      </c>
      <c r="L481" s="414"/>
      <c r="M481" s="419"/>
    </row>
    <row r="482" spans="1:13" ht="15.75" thickBot="1">
      <c r="A482" s="1"/>
      <c r="B482" s="444" t="s">
        <v>109</v>
      </c>
      <c r="C482" s="445"/>
      <c r="D482" s="445"/>
      <c r="E482" s="445"/>
      <c r="F482" s="445"/>
      <c r="G482" s="443">
        <v>11</v>
      </c>
      <c r="H482" s="443"/>
      <c r="I482" s="443"/>
      <c r="J482" s="443"/>
      <c r="K482" s="435" t="s">
        <v>26</v>
      </c>
      <c r="L482" s="436"/>
      <c r="M482" s="437"/>
    </row>
    <row r="483" spans="1:13" ht="15">
      <c r="A483" s="1"/>
      <c r="B483" s="40"/>
      <c r="C483" s="40"/>
      <c r="D483" s="40"/>
      <c r="E483" s="40"/>
      <c r="F483" s="40"/>
      <c r="G483" s="32"/>
      <c r="H483" s="32"/>
      <c r="I483" s="32"/>
      <c r="J483" s="32"/>
      <c r="K483" s="69"/>
      <c r="L483" s="69"/>
      <c r="M483" s="69"/>
    </row>
    <row r="484" spans="1:13" ht="15">
      <c r="A484" s="1"/>
      <c r="B484" s="40"/>
      <c r="C484" s="40"/>
      <c r="D484" s="40"/>
      <c r="E484" s="40"/>
      <c r="F484" s="40"/>
      <c r="G484" s="32"/>
      <c r="H484" s="32"/>
      <c r="I484" s="32"/>
      <c r="J484" s="32"/>
      <c r="K484" s="86"/>
      <c r="L484" s="86"/>
      <c r="M484" s="86"/>
    </row>
    <row r="485" spans="1:13" ht="15">
      <c r="A485" s="1"/>
      <c r="B485" s="40"/>
      <c r="C485" s="40"/>
      <c r="D485" s="40"/>
      <c r="E485" s="40"/>
      <c r="F485" s="40"/>
      <c r="G485" s="32"/>
      <c r="H485" s="32"/>
      <c r="I485" s="32"/>
      <c r="J485" s="32"/>
      <c r="K485" s="69"/>
      <c r="L485" s="69"/>
      <c r="M485" s="69"/>
    </row>
    <row r="486" spans="1:13" ht="15">
      <c r="A486" s="1"/>
      <c r="B486" s="40"/>
      <c r="C486" s="40"/>
      <c r="D486" s="40"/>
      <c r="E486" s="40"/>
      <c r="F486" s="40"/>
      <c r="G486" s="32"/>
      <c r="H486" s="32"/>
      <c r="I486" s="32"/>
      <c r="J486" s="32"/>
      <c r="K486" s="89"/>
      <c r="L486" s="89"/>
      <c r="M486" s="89"/>
    </row>
    <row r="487" spans="1:13" ht="15">
      <c r="A487" s="1"/>
      <c r="B487" s="40"/>
      <c r="C487" s="40"/>
      <c r="D487" s="40"/>
      <c r="E487" s="40"/>
      <c r="F487" s="40"/>
      <c r="G487" s="32"/>
      <c r="H487" s="32"/>
      <c r="I487" s="32"/>
      <c r="J487" s="32"/>
      <c r="K487" s="89"/>
      <c r="L487" s="89"/>
      <c r="M487" s="89"/>
    </row>
    <row r="488" spans="1:13" ht="15">
      <c r="A488" s="1"/>
      <c r="B488" s="40"/>
      <c r="C488" s="40"/>
      <c r="D488" s="40"/>
      <c r="E488" s="40"/>
      <c r="F488" s="40"/>
      <c r="G488" s="32"/>
      <c r="H488" s="32"/>
      <c r="I488" s="32"/>
      <c r="J488" s="32"/>
      <c r="K488" s="89"/>
      <c r="L488" s="89"/>
      <c r="M488" s="89"/>
    </row>
    <row r="489" spans="1:13" ht="15">
      <c r="A489" s="1"/>
      <c r="B489" s="40"/>
      <c r="C489" s="40"/>
      <c r="D489" s="40"/>
      <c r="E489" s="40"/>
      <c r="F489" s="40"/>
      <c r="G489" s="32"/>
      <c r="H489" s="32"/>
      <c r="I489" s="32"/>
      <c r="J489" s="32"/>
      <c r="K489" s="89"/>
      <c r="L489" s="89"/>
      <c r="M489" s="89"/>
    </row>
    <row r="490" spans="1:13" ht="15">
      <c r="A490" s="1"/>
      <c r="B490" s="40"/>
      <c r="C490" s="40"/>
      <c r="D490" s="40"/>
      <c r="E490" s="40"/>
      <c r="F490" s="40"/>
      <c r="G490" s="32"/>
      <c r="H490" s="32"/>
      <c r="I490" s="32"/>
      <c r="J490" s="32"/>
      <c r="K490" s="89"/>
      <c r="L490" s="89"/>
      <c r="M490" s="89"/>
    </row>
    <row r="491" spans="1:13" ht="15">
      <c r="A491" s="1"/>
      <c r="B491" s="40"/>
      <c r="C491" s="40"/>
      <c r="D491" s="40"/>
      <c r="E491" s="40"/>
      <c r="F491" s="40"/>
      <c r="G491" s="32"/>
      <c r="H491" s="32"/>
      <c r="I491" s="32"/>
      <c r="J491" s="32"/>
      <c r="K491" s="69"/>
      <c r="L491" s="69"/>
      <c r="M491" s="69"/>
    </row>
    <row r="492" spans="2:13" ht="15">
      <c r="B492" s="40"/>
      <c r="C492" s="40"/>
      <c r="D492" s="40"/>
      <c r="E492" s="40"/>
      <c r="F492" s="40"/>
      <c r="G492" s="32"/>
      <c r="H492" s="32"/>
      <c r="I492" s="32"/>
      <c r="J492" s="32"/>
      <c r="K492" s="52"/>
      <c r="L492" s="52"/>
      <c r="M492" s="52"/>
    </row>
    <row r="493" spans="1:9" ht="18">
      <c r="A493" s="1"/>
      <c r="B493" s="637" t="s">
        <v>231</v>
      </c>
      <c r="C493" s="637"/>
      <c r="D493" s="637"/>
      <c r="E493" s="637"/>
      <c r="F493" s="637"/>
      <c r="G493" s="637"/>
      <c r="H493" s="637"/>
      <c r="I493" s="637"/>
    </row>
    <row r="494" spans="1:9" ht="20.25">
      <c r="A494" s="1"/>
      <c r="B494" s="638" t="s">
        <v>217</v>
      </c>
      <c r="C494" s="638"/>
      <c r="D494" s="638"/>
      <c r="E494" s="638"/>
      <c r="F494" s="638"/>
      <c r="G494" s="638"/>
      <c r="H494" s="638"/>
      <c r="I494" s="638"/>
    </row>
    <row r="495" spans="1:9" ht="20.25">
      <c r="A495" s="1"/>
      <c r="B495" s="438" t="s">
        <v>249</v>
      </c>
      <c r="C495" s="438"/>
      <c r="D495" s="438"/>
      <c r="E495" s="438"/>
      <c r="F495" s="438"/>
      <c r="G495" s="438"/>
      <c r="H495" s="438"/>
      <c r="I495" s="438"/>
    </row>
    <row r="496" ht="15.75" thickBot="1">
      <c r="A496" s="1"/>
    </row>
    <row r="497" spans="1:13" ht="30.75">
      <c r="A497" s="1"/>
      <c r="B497" s="672" t="s">
        <v>232</v>
      </c>
      <c r="C497" s="673"/>
      <c r="D497" s="591" t="s">
        <v>233</v>
      </c>
      <c r="E497" s="591"/>
      <c r="F497" s="102" t="s">
        <v>418</v>
      </c>
      <c r="G497" s="661" t="s">
        <v>235</v>
      </c>
      <c r="H497" s="662"/>
      <c r="I497" s="662"/>
      <c r="J497" s="662"/>
      <c r="K497" s="662"/>
      <c r="L497" s="662"/>
      <c r="M497" s="663"/>
    </row>
    <row r="498" spans="1:13" ht="15">
      <c r="A498" s="1"/>
      <c r="B498" s="223" t="s">
        <v>227</v>
      </c>
      <c r="C498" s="224"/>
      <c r="D498" s="172" t="s">
        <v>247</v>
      </c>
      <c r="E498" s="172"/>
      <c r="F498" s="50">
        <v>20000</v>
      </c>
      <c r="G498" s="413" t="s">
        <v>248</v>
      </c>
      <c r="H498" s="414"/>
      <c r="I498" s="414"/>
      <c r="J498" s="414"/>
      <c r="K498" s="414"/>
      <c r="L498" s="414"/>
      <c r="M498" s="419"/>
    </row>
    <row r="499" spans="1:13" ht="15">
      <c r="A499" s="1"/>
      <c r="B499" s="223" t="s">
        <v>228</v>
      </c>
      <c r="C499" s="224"/>
      <c r="D499" s="172"/>
      <c r="E499" s="172"/>
      <c r="F499" s="50">
        <v>24000</v>
      </c>
      <c r="G499" s="413" t="s">
        <v>248</v>
      </c>
      <c r="H499" s="414"/>
      <c r="I499" s="414"/>
      <c r="J499" s="414"/>
      <c r="K499" s="414"/>
      <c r="L499" s="414"/>
      <c r="M499" s="419"/>
    </row>
    <row r="500" spans="1:13" ht="15">
      <c r="A500" s="1"/>
      <c r="B500" s="223" t="s">
        <v>229</v>
      </c>
      <c r="C500" s="224"/>
      <c r="D500" s="172"/>
      <c r="E500" s="172"/>
      <c r="F500" s="50">
        <v>24000</v>
      </c>
      <c r="G500" s="413" t="s">
        <v>248</v>
      </c>
      <c r="H500" s="414"/>
      <c r="I500" s="414"/>
      <c r="J500" s="414"/>
      <c r="K500" s="414"/>
      <c r="L500" s="414"/>
      <c r="M500" s="419"/>
    </row>
    <row r="501" spans="1:13" ht="15.75" thickBot="1">
      <c r="A501" s="1"/>
      <c r="B501" s="242" t="s">
        <v>230</v>
      </c>
      <c r="C501" s="243"/>
      <c r="D501" s="171"/>
      <c r="E501" s="171"/>
      <c r="F501" s="51">
        <v>23000</v>
      </c>
      <c r="G501" s="435" t="s">
        <v>248</v>
      </c>
      <c r="H501" s="436"/>
      <c r="I501" s="436"/>
      <c r="J501" s="436"/>
      <c r="K501" s="436"/>
      <c r="L501" s="436"/>
      <c r="M501" s="437"/>
    </row>
    <row r="502" spans="1:11" ht="15.75" thickBot="1">
      <c r="A502" s="1"/>
      <c r="J502" t="s">
        <v>421</v>
      </c>
      <c r="K502" t="s">
        <v>420</v>
      </c>
    </row>
    <row r="503" spans="1:13" ht="15">
      <c r="A503" s="1"/>
      <c r="B503" s="626" t="s">
        <v>236</v>
      </c>
      <c r="C503" s="627"/>
      <c r="D503" s="673" t="s">
        <v>241</v>
      </c>
      <c r="E503" s="673"/>
      <c r="F503" s="591" t="s">
        <v>234</v>
      </c>
      <c r="G503" s="591"/>
      <c r="H503" s="676" t="s">
        <v>292</v>
      </c>
      <c r="I503" s="677"/>
      <c r="J503" s="677"/>
      <c r="K503" s="677"/>
      <c r="L503" s="677"/>
      <c r="M503" s="678"/>
    </row>
    <row r="504" spans="1:13" ht="15">
      <c r="A504" s="1"/>
      <c r="B504" s="181" t="s">
        <v>237</v>
      </c>
      <c r="C504" s="168"/>
      <c r="D504" s="441" t="s">
        <v>240</v>
      </c>
      <c r="E504" s="441"/>
      <c r="F504" s="441">
        <v>8000</v>
      </c>
      <c r="G504" s="441"/>
      <c r="H504" s="643">
        <v>8500</v>
      </c>
      <c r="I504" s="644"/>
      <c r="J504" s="644"/>
      <c r="K504" s="644"/>
      <c r="L504" s="644"/>
      <c r="M504" s="645"/>
    </row>
    <row r="505" spans="1:13" ht="15">
      <c r="A505" s="1"/>
      <c r="B505" s="181" t="s">
        <v>238</v>
      </c>
      <c r="C505" s="168"/>
      <c r="D505" s="441"/>
      <c r="E505" s="441"/>
      <c r="F505" s="441">
        <v>12000</v>
      </c>
      <c r="G505" s="441"/>
      <c r="H505" s="643">
        <v>13500</v>
      </c>
      <c r="I505" s="644"/>
      <c r="J505" s="644"/>
      <c r="K505" s="644"/>
      <c r="L505" s="644"/>
      <c r="M505" s="645"/>
    </row>
    <row r="506" spans="1:13" ht="15.75" thickBot="1">
      <c r="A506" s="1"/>
      <c r="B506" s="427" t="s">
        <v>239</v>
      </c>
      <c r="C506" s="428"/>
      <c r="D506" s="434"/>
      <c r="E506" s="434"/>
      <c r="F506" s="434">
        <v>12000</v>
      </c>
      <c r="G506" s="434"/>
      <c r="H506" s="666">
        <v>13500</v>
      </c>
      <c r="I506" s="667"/>
      <c r="J506" s="667"/>
      <c r="K506" s="667"/>
      <c r="L506" s="667"/>
      <c r="M506" s="668"/>
    </row>
    <row r="507" ht="26.25" customHeight="1">
      <c r="A507" s="1"/>
    </row>
    <row r="508" spans="2:13" ht="15">
      <c r="B508" s="625" t="s">
        <v>246</v>
      </c>
      <c r="C508" s="625"/>
      <c r="D508" s="625"/>
      <c r="E508" s="625"/>
      <c r="F508" s="625"/>
      <c r="G508" s="625"/>
      <c r="H508" s="625"/>
      <c r="I508" s="625"/>
      <c r="J508" s="625"/>
      <c r="K508" s="625"/>
      <c r="L508" s="625"/>
      <c r="M508" s="625"/>
    </row>
    <row r="509" spans="2:5" ht="15">
      <c r="B509" s="34"/>
      <c r="C509" s="34"/>
      <c r="D509" s="34"/>
      <c r="E509" s="34"/>
    </row>
    <row r="510" spans="2:5" ht="15">
      <c r="B510" s="639" t="s">
        <v>242</v>
      </c>
      <c r="C510" s="639"/>
      <c r="D510" s="33"/>
      <c r="E510" s="33"/>
    </row>
    <row r="511" spans="2:12" ht="15">
      <c r="B511" s="625" t="s">
        <v>243</v>
      </c>
      <c r="C511" s="625"/>
      <c r="D511" s="625"/>
      <c r="E511" s="625"/>
      <c r="F511" s="625"/>
      <c r="G511" s="33"/>
      <c r="H511" s="33"/>
      <c r="I511" s="33"/>
      <c r="J511" s="33"/>
      <c r="K511" s="33"/>
      <c r="L511" s="33"/>
    </row>
    <row r="512" spans="2:6" ht="15">
      <c r="B512" s="625" t="s">
        <v>244</v>
      </c>
      <c r="C512" s="625"/>
      <c r="D512" s="625"/>
      <c r="E512" s="625"/>
      <c r="F512" s="625"/>
    </row>
    <row r="513" spans="2:6" ht="15">
      <c r="B513" s="625" t="s">
        <v>245</v>
      </c>
      <c r="C513" s="625"/>
      <c r="D513" s="625"/>
      <c r="E513" s="625"/>
      <c r="F513" s="625"/>
    </row>
    <row r="514" ht="21.75" customHeight="1"/>
    <row r="516" ht="15.75" thickBot="1"/>
    <row r="517" spans="2:13" ht="18">
      <c r="B517" s="392" t="s">
        <v>281</v>
      </c>
      <c r="C517" s="393"/>
      <c r="D517" s="393"/>
      <c r="E517" s="393"/>
      <c r="F517" s="393"/>
      <c r="G517" s="393"/>
      <c r="H517" s="393"/>
      <c r="I517" s="394"/>
      <c r="J517" s="385" t="s">
        <v>284</v>
      </c>
      <c r="K517" s="386"/>
      <c r="L517" s="386"/>
      <c r="M517" s="387"/>
    </row>
    <row r="518" spans="2:13" ht="15.75">
      <c r="B518" s="395" t="s">
        <v>282</v>
      </c>
      <c r="C518" s="396"/>
      <c r="D518" s="396"/>
      <c r="E518" s="396"/>
      <c r="F518" s="396"/>
      <c r="G518" s="396"/>
      <c r="H518" s="396"/>
      <c r="I518" s="397"/>
      <c r="J518" s="358" t="s">
        <v>337</v>
      </c>
      <c r="K518" s="359"/>
      <c r="L518" s="359"/>
      <c r="M518" s="360"/>
    </row>
    <row r="519" spans="2:13" ht="15.75">
      <c r="B519" s="395" t="s">
        <v>283</v>
      </c>
      <c r="C519" s="396"/>
      <c r="D519" s="396"/>
      <c r="E519" s="396"/>
      <c r="F519" s="396"/>
      <c r="G519" s="396"/>
      <c r="H519" s="396"/>
      <c r="I519" s="397"/>
      <c r="J519" s="358" t="s">
        <v>286</v>
      </c>
      <c r="K519" s="359"/>
      <c r="L519" s="359"/>
      <c r="M519" s="360"/>
    </row>
    <row r="520" spans="2:13" ht="15.75">
      <c r="B520" s="398" t="s">
        <v>288</v>
      </c>
      <c r="C520" s="399"/>
      <c r="D520" s="399"/>
      <c r="E520" s="399"/>
      <c r="F520" s="399"/>
      <c r="G520" s="399"/>
      <c r="H520" s="399"/>
      <c r="I520" s="400"/>
      <c r="J520" s="358" t="s">
        <v>287</v>
      </c>
      <c r="K520" s="359"/>
      <c r="L520" s="359"/>
      <c r="M520" s="360"/>
    </row>
    <row r="521" spans="2:13" ht="15.75" thickBot="1">
      <c r="B521" s="401" t="s">
        <v>325</v>
      </c>
      <c r="C521" s="402"/>
      <c r="D521" s="402"/>
      <c r="E521" s="402"/>
      <c r="F521" s="402"/>
      <c r="G521" s="402"/>
      <c r="H521" s="402"/>
      <c r="I521" s="403"/>
      <c r="J521" s="389" t="s">
        <v>462</v>
      </c>
      <c r="K521" s="390"/>
      <c r="L521" s="390"/>
      <c r="M521" s="391"/>
    </row>
    <row r="522" ht="15.75" thickBot="1"/>
    <row r="523" spans="4:8" ht="25.5">
      <c r="D523" s="658" t="s">
        <v>260</v>
      </c>
      <c r="E523" s="659"/>
      <c r="F523" s="659"/>
      <c r="G523" s="659"/>
      <c r="H523" s="660"/>
    </row>
    <row r="524" spans="4:8" ht="25.5">
      <c r="D524" s="664" t="s">
        <v>261</v>
      </c>
      <c r="E524" s="665"/>
      <c r="F524" s="674" t="s">
        <v>266</v>
      </c>
      <c r="G524" s="674"/>
      <c r="H524" s="675"/>
    </row>
    <row r="525" spans="4:8" ht="25.5">
      <c r="D525" s="664" t="s">
        <v>262</v>
      </c>
      <c r="E525" s="665"/>
      <c r="F525" s="674"/>
      <c r="G525" s="674"/>
      <c r="H525" s="675"/>
    </row>
    <row r="526" spans="4:8" ht="25.5">
      <c r="D526" s="664" t="s">
        <v>263</v>
      </c>
      <c r="E526" s="665"/>
      <c r="F526" s="674"/>
      <c r="G526" s="674"/>
      <c r="H526" s="675"/>
    </row>
    <row r="527" spans="4:8" ht="25.5">
      <c r="D527" s="664" t="s">
        <v>264</v>
      </c>
      <c r="E527" s="665"/>
      <c r="F527" s="674"/>
      <c r="G527" s="674"/>
      <c r="H527" s="675"/>
    </row>
    <row r="528" spans="4:8" ht="25.5">
      <c r="D528" s="664" t="s">
        <v>265</v>
      </c>
      <c r="E528" s="665"/>
      <c r="F528" s="674"/>
      <c r="G528" s="674"/>
      <c r="H528" s="675"/>
    </row>
    <row r="529" spans="4:8" ht="25.5">
      <c r="D529" s="664" t="s">
        <v>267</v>
      </c>
      <c r="E529" s="665"/>
      <c r="F529" s="674" t="s">
        <v>269</v>
      </c>
      <c r="G529" s="674"/>
      <c r="H529" s="675"/>
    </row>
    <row r="530" spans="4:8" ht="26.25" thickBot="1">
      <c r="D530" s="670" t="s">
        <v>268</v>
      </c>
      <c r="E530" s="671"/>
      <c r="F530" s="711" t="s">
        <v>391</v>
      </c>
      <c r="G530" s="711"/>
      <c r="H530" s="712"/>
    </row>
    <row r="531" spans="2:12" ht="15">
      <c r="B531" s="669" t="s">
        <v>270</v>
      </c>
      <c r="C531" s="669"/>
      <c r="D531" s="669"/>
      <c r="E531" s="669"/>
      <c r="F531" s="669"/>
      <c r="G531" s="669"/>
      <c r="H531" s="669"/>
      <c r="I531" s="669"/>
      <c r="J531" s="669"/>
      <c r="K531" s="669"/>
      <c r="L531" s="669"/>
    </row>
    <row r="532" spans="2:12" ht="15">
      <c r="B532" s="669"/>
      <c r="C532" s="669"/>
      <c r="D532" s="669"/>
      <c r="E532" s="669"/>
      <c r="F532" s="669"/>
      <c r="G532" s="669"/>
      <c r="H532" s="669"/>
      <c r="I532" s="669"/>
      <c r="J532" s="669"/>
      <c r="K532" s="669"/>
      <c r="L532" s="669"/>
    </row>
    <row r="533" spans="2:12" ht="21" customHeight="1">
      <c r="B533" s="669"/>
      <c r="C533" s="669"/>
      <c r="D533" s="669"/>
      <c r="E533" s="669"/>
      <c r="F533" s="669"/>
      <c r="G533" s="669"/>
      <c r="H533" s="669"/>
      <c r="I533" s="669"/>
      <c r="J533" s="669"/>
      <c r="K533" s="669"/>
      <c r="L533" s="669"/>
    </row>
  </sheetData>
  <sheetProtection/>
  <mergeCells count="1446">
    <mergeCell ref="B244:C244"/>
    <mergeCell ref="E244:G244"/>
    <mergeCell ref="H244:I244"/>
    <mergeCell ref="B243:C243"/>
    <mergeCell ref="E243:G243"/>
    <mergeCell ref="H243:I243"/>
    <mergeCell ref="B237:C237"/>
    <mergeCell ref="E237:G237"/>
    <mergeCell ref="H237:I237"/>
    <mergeCell ref="B212:C212"/>
    <mergeCell ref="H223:I223"/>
    <mergeCell ref="B229:C229"/>
    <mergeCell ref="E229:G229"/>
    <mergeCell ref="H229:I229"/>
    <mergeCell ref="E224:G224"/>
    <mergeCell ref="D212:E212"/>
    <mergeCell ref="B232:C232"/>
    <mergeCell ref="H221:I221"/>
    <mergeCell ref="H222:I222"/>
    <mergeCell ref="B233:C233"/>
    <mergeCell ref="B217:C223"/>
    <mergeCell ref="H220:I220"/>
    <mergeCell ref="H232:I232"/>
    <mergeCell ref="B231:C231"/>
    <mergeCell ref="E218:G218"/>
    <mergeCell ref="B224:C226"/>
    <mergeCell ref="H233:I233"/>
    <mergeCell ref="L257:M258"/>
    <mergeCell ref="H253:I253"/>
    <mergeCell ref="E226:G226"/>
    <mergeCell ref="L259:M260"/>
    <mergeCell ref="J217:M222"/>
    <mergeCell ref="J223:M223"/>
    <mergeCell ref="L253:M253"/>
    <mergeCell ref="H225:I225"/>
    <mergeCell ref="E235:G235"/>
    <mergeCell ref="H240:I240"/>
    <mergeCell ref="H238:I238"/>
    <mergeCell ref="H254:I254"/>
    <mergeCell ref="F254:G254"/>
    <mergeCell ref="E233:G233"/>
    <mergeCell ref="H202:J202"/>
    <mergeCell ref="F205:G205"/>
    <mergeCell ref="D204:E204"/>
    <mergeCell ref="H219:I219"/>
    <mergeCell ref="E225:G225"/>
    <mergeCell ref="F195:G195"/>
    <mergeCell ref="F171:G171"/>
    <mergeCell ref="H171:J171"/>
    <mergeCell ref="D202:E202"/>
    <mergeCell ref="H185:J185"/>
    <mergeCell ref="B179:D179"/>
    <mergeCell ref="B180:D180"/>
    <mergeCell ref="H195:J195"/>
    <mergeCell ref="H198:J198"/>
    <mergeCell ref="H199:J199"/>
    <mergeCell ref="B230:C230"/>
    <mergeCell ref="E230:G230"/>
    <mergeCell ref="D224:D226"/>
    <mergeCell ref="H224:I224"/>
    <mergeCell ref="H227:I227"/>
    <mergeCell ref="D70:E70"/>
    <mergeCell ref="D207:E207"/>
    <mergeCell ref="H230:I230"/>
    <mergeCell ref="H228:I228"/>
    <mergeCell ref="E227:G227"/>
    <mergeCell ref="K140:M140"/>
    <mergeCell ref="B73:C73"/>
    <mergeCell ref="B71:C71"/>
    <mergeCell ref="D71:E71"/>
    <mergeCell ref="G71:H71"/>
    <mergeCell ref="I74:K74"/>
    <mergeCell ref="K108:M108"/>
    <mergeCell ref="D108:E131"/>
    <mergeCell ref="F108:G108"/>
    <mergeCell ref="B111:C111"/>
    <mergeCell ref="B67:C67"/>
    <mergeCell ref="D67:E67"/>
    <mergeCell ref="G67:H67"/>
    <mergeCell ref="I67:K67"/>
    <mergeCell ref="L67:M67"/>
    <mergeCell ref="I71:K71"/>
    <mergeCell ref="L69:M69"/>
    <mergeCell ref="B69:C69"/>
    <mergeCell ref="H246:I246"/>
    <mergeCell ref="C303:C304"/>
    <mergeCell ref="D303:D304"/>
    <mergeCell ref="E303:E304"/>
    <mergeCell ref="H261:I262"/>
    <mergeCell ref="F253:G253"/>
    <mergeCell ref="C253:C254"/>
    <mergeCell ref="C257:C258"/>
    <mergeCell ref="D253:E258"/>
    <mergeCell ref="D259:E262"/>
    <mergeCell ref="B337:E337"/>
    <mergeCell ref="B338:E338"/>
    <mergeCell ref="H338:I338"/>
    <mergeCell ref="F338:G338"/>
    <mergeCell ref="B302:M302"/>
    <mergeCell ref="D329:D330"/>
    <mergeCell ref="F303:G303"/>
    <mergeCell ref="J338:K338"/>
    <mergeCell ref="L337:M337"/>
    <mergeCell ref="L338:M338"/>
    <mergeCell ref="H217:I217"/>
    <mergeCell ref="D209:E209"/>
    <mergeCell ref="H212:J212"/>
    <mergeCell ref="H226:I226"/>
    <mergeCell ref="E228:G228"/>
    <mergeCell ref="E220:G220"/>
    <mergeCell ref="E222:G222"/>
    <mergeCell ref="E221:G221"/>
    <mergeCell ref="B234:C234"/>
    <mergeCell ref="B227:C228"/>
    <mergeCell ref="D215:D216"/>
    <mergeCell ref="E232:G232"/>
    <mergeCell ref="D217:D222"/>
    <mergeCell ref="E217:G217"/>
    <mergeCell ref="E215:G216"/>
    <mergeCell ref="D227:D228"/>
    <mergeCell ref="B215:C216"/>
    <mergeCell ref="E219:G219"/>
    <mergeCell ref="F271:G271"/>
    <mergeCell ref="D271:D272"/>
    <mergeCell ref="B240:C240"/>
    <mergeCell ref="B241:C241"/>
    <mergeCell ref="C259:C260"/>
    <mergeCell ref="F257:G258"/>
    <mergeCell ref="F259:G260"/>
    <mergeCell ref="B253:B262"/>
    <mergeCell ref="F261:G262"/>
    <mergeCell ref="E242:G242"/>
    <mergeCell ref="F337:G337"/>
    <mergeCell ref="J279:K279"/>
    <mergeCell ref="H279:I279"/>
    <mergeCell ref="C279:C280"/>
    <mergeCell ref="B309:M309"/>
    <mergeCell ref="J276:K276"/>
    <mergeCell ref="B276:E276"/>
    <mergeCell ref="H326:I326"/>
    <mergeCell ref="B279:B280"/>
    <mergeCell ref="B326:E326"/>
    <mergeCell ref="F530:H530"/>
    <mergeCell ref="F529:H529"/>
    <mergeCell ref="H349:I357"/>
    <mergeCell ref="G447:J447"/>
    <mergeCell ref="D526:E526"/>
    <mergeCell ref="K442:M442"/>
    <mergeCell ref="B442:F442"/>
    <mergeCell ref="B443:F443"/>
    <mergeCell ref="G442:J442"/>
    <mergeCell ref="J1:M1"/>
    <mergeCell ref="D1:I1"/>
    <mergeCell ref="K114:M114"/>
    <mergeCell ref="H112:J112"/>
    <mergeCell ref="K112:M112"/>
    <mergeCell ref="F326:G326"/>
    <mergeCell ref="K195:M195"/>
    <mergeCell ref="J303:K303"/>
    <mergeCell ref="H239:I239"/>
    <mergeCell ref="L271:M271"/>
    <mergeCell ref="E245:G245"/>
    <mergeCell ref="E246:G246"/>
    <mergeCell ref="H245:I245"/>
    <mergeCell ref="L279:M279"/>
    <mergeCell ref="E271:E272"/>
    <mergeCell ref="D527:E527"/>
    <mergeCell ref="J271:K271"/>
    <mergeCell ref="E279:E280"/>
    <mergeCell ref="J337:K337"/>
    <mergeCell ref="H337:I337"/>
    <mergeCell ref="K443:M443"/>
    <mergeCell ref="H323:I323"/>
    <mergeCell ref="B322:M322"/>
    <mergeCell ref="K198:M198"/>
    <mergeCell ref="H218:I218"/>
    <mergeCell ref="E376:J376"/>
    <mergeCell ref="E329:E330"/>
    <mergeCell ref="H271:I271"/>
    <mergeCell ref="D291:D292"/>
    <mergeCell ref="B267:D267"/>
    <mergeCell ref="C310:C311"/>
    <mergeCell ref="C323:C324"/>
    <mergeCell ref="D323:D324"/>
    <mergeCell ref="E310:E311"/>
    <mergeCell ref="B291:B292"/>
    <mergeCell ref="K160:M160"/>
    <mergeCell ref="L268:M268"/>
    <mergeCell ref="B248:C248"/>
    <mergeCell ref="D279:D280"/>
    <mergeCell ref="L276:M276"/>
    <mergeCell ref="L326:M326"/>
    <mergeCell ref="L303:M303"/>
    <mergeCell ref="J326:K326"/>
    <mergeCell ref="L287:M287"/>
    <mergeCell ref="L310:M310"/>
    <mergeCell ref="B270:M270"/>
    <mergeCell ref="F287:G287"/>
    <mergeCell ref="J291:K291"/>
    <mergeCell ref="B288:E288"/>
    <mergeCell ref="F276:G276"/>
    <mergeCell ref="J251:K252"/>
    <mergeCell ref="L265:M266"/>
    <mergeCell ref="H255:I256"/>
    <mergeCell ref="L255:M256"/>
    <mergeCell ref="G265:G266"/>
    <mergeCell ref="J265:K266"/>
    <mergeCell ref="J253:K262"/>
    <mergeCell ref="H259:I260"/>
    <mergeCell ref="H257:I258"/>
    <mergeCell ref="L261:M262"/>
    <mergeCell ref="H242:I242"/>
    <mergeCell ref="D251:E252"/>
    <mergeCell ref="F251:G252"/>
    <mergeCell ref="B251:B252"/>
    <mergeCell ref="C251:C252"/>
    <mergeCell ref="B250:M250"/>
    <mergeCell ref="H248:I248"/>
    <mergeCell ref="H251:I252"/>
    <mergeCell ref="E247:G247"/>
    <mergeCell ref="E248:G248"/>
    <mergeCell ref="D528:E528"/>
    <mergeCell ref="D498:E501"/>
    <mergeCell ref="B290:M290"/>
    <mergeCell ref="E291:E292"/>
    <mergeCell ref="B479:F479"/>
    <mergeCell ref="B299:E299"/>
    <mergeCell ref="F323:G323"/>
    <mergeCell ref="B323:B324"/>
    <mergeCell ref="C291:C292"/>
    <mergeCell ref="D503:E503"/>
    <mergeCell ref="B499:C499"/>
    <mergeCell ref="D504:E506"/>
    <mergeCell ref="H505:M505"/>
    <mergeCell ref="H503:M503"/>
    <mergeCell ref="B308:E308"/>
    <mergeCell ref="D310:D311"/>
    <mergeCell ref="B310:B311"/>
    <mergeCell ref="F310:G310"/>
    <mergeCell ref="H310:I310"/>
    <mergeCell ref="F308:G308"/>
    <mergeCell ref="D524:E524"/>
    <mergeCell ref="D525:E525"/>
    <mergeCell ref="G437:J437"/>
    <mergeCell ref="G435:J435"/>
    <mergeCell ref="H506:M506"/>
    <mergeCell ref="B531:L533"/>
    <mergeCell ref="D530:E530"/>
    <mergeCell ref="D529:E529"/>
    <mergeCell ref="B497:C497"/>
    <mergeCell ref="F524:H528"/>
    <mergeCell ref="D523:H523"/>
    <mergeCell ref="B505:C505"/>
    <mergeCell ref="G497:M497"/>
    <mergeCell ref="B501:C501"/>
    <mergeCell ref="F505:G505"/>
    <mergeCell ref="B504:C504"/>
    <mergeCell ref="G500:M500"/>
    <mergeCell ref="B498:C498"/>
    <mergeCell ref="G498:M498"/>
    <mergeCell ref="F503:G503"/>
    <mergeCell ref="K200:M200"/>
    <mergeCell ref="F199:G199"/>
    <mergeCell ref="K204:M204"/>
    <mergeCell ref="H204:J204"/>
    <mergeCell ref="F201:G201"/>
    <mergeCell ref="F203:G203"/>
    <mergeCell ref="F202:G202"/>
    <mergeCell ref="K203:M203"/>
    <mergeCell ref="K199:M199"/>
    <mergeCell ref="K202:M202"/>
    <mergeCell ref="K209:M209"/>
    <mergeCell ref="K206:M206"/>
    <mergeCell ref="K208:M208"/>
    <mergeCell ref="H205:J205"/>
    <mergeCell ref="H206:J206"/>
    <mergeCell ref="K207:M207"/>
    <mergeCell ref="H207:J207"/>
    <mergeCell ref="H208:J208"/>
    <mergeCell ref="H209:J209"/>
    <mergeCell ref="B245:C246"/>
    <mergeCell ref="F204:G204"/>
    <mergeCell ref="E223:G223"/>
    <mergeCell ref="E236:G236"/>
    <mergeCell ref="F208:G208"/>
    <mergeCell ref="B235:C235"/>
    <mergeCell ref="D206:E206"/>
    <mergeCell ref="E241:G241"/>
    <mergeCell ref="E234:G234"/>
    <mergeCell ref="B242:C242"/>
    <mergeCell ref="K210:M210"/>
    <mergeCell ref="B205:C205"/>
    <mergeCell ref="B207:C207"/>
    <mergeCell ref="B206:C206"/>
    <mergeCell ref="B204:C204"/>
    <mergeCell ref="D208:E208"/>
    <mergeCell ref="B208:C208"/>
    <mergeCell ref="F209:G209"/>
    <mergeCell ref="D205:E205"/>
    <mergeCell ref="K205:M205"/>
    <mergeCell ref="K212:M212"/>
    <mergeCell ref="H235:I235"/>
    <mergeCell ref="D210:E210"/>
    <mergeCell ref="K211:M211"/>
    <mergeCell ref="H211:J211"/>
    <mergeCell ref="F212:G212"/>
    <mergeCell ref="J215:M216"/>
    <mergeCell ref="F210:G210"/>
    <mergeCell ref="E231:G231"/>
    <mergeCell ref="H231:I231"/>
    <mergeCell ref="H276:I276"/>
    <mergeCell ref="C255:C256"/>
    <mergeCell ref="B268:D268"/>
    <mergeCell ref="H268:I268"/>
    <mergeCell ref="B271:B272"/>
    <mergeCell ref="F279:G279"/>
    <mergeCell ref="E265:E266"/>
    <mergeCell ref="F265:F266"/>
    <mergeCell ref="B278:M278"/>
    <mergeCell ref="C271:C272"/>
    <mergeCell ref="B513:F513"/>
    <mergeCell ref="B493:I493"/>
    <mergeCell ref="B494:I494"/>
    <mergeCell ref="B508:M508"/>
    <mergeCell ref="B510:C510"/>
    <mergeCell ref="B328:M328"/>
    <mergeCell ref="G499:M499"/>
    <mergeCell ref="H504:M504"/>
    <mergeCell ref="B500:C500"/>
    <mergeCell ref="D497:E497"/>
    <mergeCell ref="K187:M187"/>
    <mergeCell ref="B341:M341"/>
    <mergeCell ref="H234:I234"/>
    <mergeCell ref="H215:I216"/>
    <mergeCell ref="F211:G211"/>
    <mergeCell ref="B214:M214"/>
    <mergeCell ref="H210:J210"/>
    <mergeCell ref="B209:C209"/>
    <mergeCell ref="F206:G206"/>
    <mergeCell ref="L251:M252"/>
    <mergeCell ref="B145:C145"/>
    <mergeCell ref="B89:C89"/>
    <mergeCell ref="B91:C91"/>
    <mergeCell ref="K166:M166"/>
    <mergeCell ref="D72:E72"/>
    <mergeCell ref="B85:M85"/>
    <mergeCell ref="E86:F87"/>
    <mergeCell ref="B74:C74"/>
    <mergeCell ref="B159:C159"/>
    <mergeCell ref="B72:C72"/>
    <mergeCell ref="D65:E65"/>
    <mergeCell ref="G65:H65"/>
    <mergeCell ref="D68:E68"/>
    <mergeCell ref="G68:H68"/>
    <mergeCell ref="D69:E69"/>
    <mergeCell ref="I69:K69"/>
    <mergeCell ref="G69:H69"/>
    <mergeCell ref="K53:M53"/>
    <mergeCell ref="B68:C68"/>
    <mergeCell ref="F21:G21"/>
    <mergeCell ref="F32:H32"/>
    <mergeCell ref="K22:M22"/>
    <mergeCell ref="I31:J31"/>
    <mergeCell ref="K30:M30"/>
    <mergeCell ref="B63:C64"/>
    <mergeCell ref="K55:M55"/>
    <mergeCell ref="H57:J57"/>
    <mergeCell ref="H60:J60"/>
    <mergeCell ref="B65:C65"/>
    <mergeCell ref="K59:M59"/>
    <mergeCell ref="B60:G60"/>
    <mergeCell ref="L65:M65"/>
    <mergeCell ref="K49:M49"/>
    <mergeCell ref="K50:M50"/>
    <mergeCell ref="B49:G49"/>
    <mergeCell ref="B50:G50"/>
    <mergeCell ref="B59:G59"/>
    <mergeCell ref="B140:C140"/>
    <mergeCell ref="H143:J143"/>
    <mergeCell ref="B512:F512"/>
    <mergeCell ref="B511:F511"/>
    <mergeCell ref="B503:C503"/>
    <mergeCell ref="B210:C210"/>
    <mergeCell ref="B211:C211"/>
    <mergeCell ref="D211:E211"/>
    <mergeCell ref="B144:C144"/>
    <mergeCell ref="F159:G159"/>
    <mergeCell ref="B173:D173"/>
    <mergeCell ref="F112:G112"/>
    <mergeCell ref="B143:C143"/>
    <mergeCell ref="B117:C117"/>
    <mergeCell ref="B119:C119"/>
    <mergeCell ref="F119:G119"/>
    <mergeCell ref="B160:C160"/>
    <mergeCell ref="F143:G143"/>
    <mergeCell ref="B135:C135"/>
    <mergeCell ref="B118:C118"/>
    <mergeCell ref="L100:M100"/>
    <mergeCell ref="E88:F88"/>
    <mergeCell ref="H159:J159"/>
    <mergeCell ref="F174:G174"/>
    <mergeCell ref="H174:J174"/>
    <mergeCell ref="G101:H101"/>
    <mergeCell ref="G92:H92"/>
    <mergeCell ref="D159:E161"/>
    <mergeCell ref="F146:G146"/>
    <mergeCell ref="F144:G144"/>
    <mergeCell ref="L89:M89"/>
    <mergeCell ref="L92:M92"/>
    <mergeCell ref="G88:H88"/>
    <mergeCell ref="B99:C99"/>
    <mergeCell ref="E99:F99"/>
    <mergeCell ref="G99:H99"/>
    <mergeCell ref="L88:M88"/>
    <mergeCell ref="B92:C92"/>
    <mergeCell ref="E90:F90"/>
    <mergeCell ref="L96:M96"/>
    <mergeCell ref="I86:K87"/>
    <mergeCell ref="L93:M93"/>
    <mergeCell ref="D86:D87"/>
    <mergeCell ref="B83:C83"/>
    <mergeCell ref="I92:K92"/>
    <mergeCell ref="I88:K88"/>
    <mergeCell ref="B86:C87"/>
    <mergeCell ref="B90:C90"/>
    <mergeCell ref="L91:M91"/>
    <mergeCell ref="E89:F89"/>
    <mergeCell ref="L86:M87"/>
    <mergeCell ref="D203:E203"/>
    <mergeCell ref="H200:J200"/>
    <mergeCell ref="G102:H102"/>
    <mergeCell ref="H135:J135"/>
    <mergeCell ref="F135:G135"/>
    <mergeCell ref="E104:F104"/>
    <mergeCell ref="H113:J113"/>
    <mergeCell ref="I104:K104"/>
    <mergeCell ref="I102:K102"/>
    <mergeCell ref="L63:M64"/>
    <mergeCell ref="K56:M56"/>
    <mergeCell ref="F63:F64"/>
    <mergeCell ref="D63:E64"/>
    <mergeCell ref="G66:H66"/>
    <mergeCell ref="D66:E66"/>
    <mergeCell ref="I66:K66"/>
    <mergeCell ref="I63:K64"/>
    <mergeCell ref="K60:M60"/>
    <mergeCell ref="K57:M57"/>
    <mergeCell ref="H21:J21"/>
    <mergeCell ref="K46:M46"/>
    <mergeCell ref="H40:J40"/>
    <mergeCell ref="K45:M45"/>
    <mergeCell ref="K40:M40"/>
    <mergeCell ref="K19:M19"/>
    <mergeCell ref="K44:M44"/>
    <mergeCell ref="K39:M39"/>
    <mergeCell ref="K20:M20"/>
    <mergeCell ref="H41:J41"/>
    <mergeCell ref="F22:G22"/>
    <mergeCell ref="B4:B5"/>
    <mergeCell ref="B16:M16"/>
    <mergeCell ref="H19:J19"/>
    <mergeCell ref="H20:J20"/>
    <mergeCell ref="H18:J18"/>
    <mergeCell ref="K18:M18"/>
    <mergeCell ref="K17:M17"/>
    <mergeCell ref="K21:M21"/>
    <mergeCell ref="H17:J17"/>
    <mergeCell ref="B1:C1"/>
    <mergeCell ref="D20:E20"/>
    <mergeCell ref="D19:E19"/>
    <mergeCell ref="F19:G19"/>
    <mergeCell ref="B18:C22"/>
    <mergeCell ref="F20:G20"/>
    <mergeCell ref="D22:E22"/>
    <mergeCell ref="B3:M3"/>
    <mergeCell ref="H22:J22"/>
    <mergeCell ref="K4:M4"/>
    <mergeCell ref="C4:C5"/>
    <mergeCell ref="D4:D5"/>
    <mergeCell ref="E4:G4"/>
    <mergeCell ref="H4:J4"/>
    <mergeCell ref="F17:G17"/>
    <mergeCell ref="D31:E31"/>
    <mergeCell ref="F18:G18"/>
    <mergeCell ref="B31:C31"/>
    <mergeCell ref="D30:E30"/>
    <mergeCell ref="D18:E18"/>
    <mergeCell ref="B38:M38"/>
    <mergeCell ref="K32:M32"/>
    <mergeCell ref="H39:J39"/>
    <mergeCell ref="B30:C30"/>
    <mergeCell ref="B39:G39"/>
    <mergeCell ref="K31:M31"/>
    <mergeCell ref="B34:M34"/>
    <mergeCell ref="B36:C36"/>
    <mergeCell ref="D36:E36"/>
    <mergeCell ref="F36:H36"/>
    <mergeCell ref="B52:G52"/>
    <mergeCell ref="K41:M41"/>
    <mergeCell ref="D17:E17"/>
    <mergeCell ref="D21:E21"/>
    <mergeCell ref="B17:C17"/>
    <mergeCell ref="H59:J59"/>
    <mergeCell ref="I32:J32"/>
    <mergeCell ref="B29:M29"/>
    <mergeCell ref="D32:E32"/>
    <mergeCell ref="I30:J30"/>
    <mergeCell ref="H51:J51"/>
    <mergeCell ref="H46:J46"/>
    <mergeCell ref="K51:M51"/>
    <mergeCell ref="K43:M43"/>
    <mergeCell ref="B48:M48"/>
    <mergeCell ref="H45:J45"/>
    <mergeCell ref="B51:G51"/>
    <mergeCell ref="B43:G43"/>
    <mergeCell ref="B44:G44"/>
    <mergeCell ref="B45:G45"/>
    <mergeCell ref="K58:M58"/>
    <mergeCell ref="H52:J52"/>
    <mergeCell ref="H44:J44"/>
    <mergeCell ref="B40:G40"/>
    <mergeCell ref="H49:J49"/>
    <mergeCell ref="B46:G46"/>
    <mergeCell ref="H43:J43"/>
    <mergeCell ref="H50:J50"/>
    <mergeCell ref="H42:J42"/>
    <mergeCell ref="B41:G41"/>
    <mergeCell ref="B57:G57"/>
    <mergeCell ref="I75:K75"/>
    <mergeCell ref="G75:H75"/>
    <mergeCell ref="B56:G56"/>
    <mergeCell ref="B62:M62"/>
    <mergeCell ref="K52:M52"/>
    <mergeCell ref="K54:M54"/>
    <mergeCell ref="B55:G55"/>
    <mergeCell ref="H54:J54"/>
    <mergeCell ref="B54:G54"/>
    <mergeCell ref="D76:E76"/>
    <mergeCell ref="B53:G53"/>
    <mergeCell ref="I72:K72"/>
    <mergeCell ref="G63:H64"/>
    <mergeCell ref="B58:G58"/>
    <mergeCell ref="H53:J53"/>
    <mergeCell ref="I65:K65"/>
    <mergeCell ref="H58:J58"/>
    <mergeCell ref="B70:C70"/>
    <mergeCell ref="H55:J55"/>
    <mergeCell ref="I98:K98"/>
    <mergeCell ref="F117:G117"/>
    <mergeCell ref="F107:G107"/>
    <mergeCell ref="F110:G110"/>
    <mergeCell ref="K109:M109"/>
    <mergeCell ref="K110:M110"/>
    <mergeCell ref="F109:G109"/>
    <mergeCell ref="E103:F103"/>
    <mergeCell ref="E102:F102"/>
    <mergeCell ref="G100:H100"/>
    <mergeCell ref="K192:M192"/>
    <mergeCell ref="K181:M181"/>
    <mergeCell ref="F173:G173"/>
    <mergeCell ref="F172:G172"/>
    <mergeCell ref="K182:M182"/>
    <mergeCell ref="H176:J176"/>
    <mergeCell ref="F177:G177"/>
    <mergeCell ref="K189:M189"/>
    <mergeCell ref="H187:J187"/>
    <mergeCell ref="H179:J179"/>
    <mergeCell ref="H144:J144"/>
    <mergeCell ref="K144:M144"/>
    <mergeCell ref="L98:M98"/>
    <mergeCell ref="L102:M102"/>
    <mergeCell ref="L99:M99"/>
    <mergeCell ref="K143:M143"/>
    <mergeCell ref="I100:K100"/>
    <mergeCell ref="K117:M117"/>
    <mergeCell ref="G98:H98"/>
    <mergeCell ref="H111:J111"/>
    <mergeCell ref="H136:J136"/>
    <mergeCell ref="L103:M103"/>
    <mergeCell ref="I80:K81"/>
    <mergeCell ref="L76:M76"/>
    <mergeCell ref="I101:K101"/>
    <mergeCell ref="L95:M95"/>
    <mergeCell ref="L80:M81"/>
    <mergeCell ref="L83:M83"/>
    <mergeCell ref="L94:M94"/>
    <mergeCell ref="G83:H83"/>
    <mergeCell ref="G72:H72"/>
    <mergeCell ref="L68:M68"/>
    <mergeCell ref="L71:M71"/>
    <mergeCell ref="G70:H70"/>
    <mergeCell ref="I70:K70"/>
    <mergeCell ref="L70:M70"/>
    <mergeCell ref="I68:K68"/>
    <mergeCell ref="B75:C75"/>
    <mergeCell ref="L75:M75"/>
    <mergeCell ref="L73:M73"/>
    <mergeCell ref="I73:K73"/>
    <mergeCell ref="D73:E73"/>
    <mergeCell ref="G73:H73"/>
    <mergeCell ref="L74:M74"/>
    <mergeCell ref="D74:E74"/>
    <mergeCell ref="D75:E75"/>
    <mergeCell ref="G74:H74"/>
    <mergeCell ref="B93:C93"/>
    <mergeCell ref="B88:C88"/>
    <mergeCell ref="D77:E77"/>
    <mergeCell ref="G77:H77"/>
    <mergeCell ref="I76:K76"/>
    <mergeCell ref="G76:H76"/>
    <mergeCell ref="I77:K77"/>
    <mergeCell ref="D80:D81"/>
    <mergeCell ref="G80:H81"/>
    <mergeCell ref="G86:H87"/>
    <mergeCell ref="B103:C103"/>
    <mergeCell ref="B98:C98"/>
    <mergeCell ref="B104:C104"/>
    <mergeCell ref="E98:F98"/>
    <mergeCell ref="B100:C100"/>
    <mergeCell ref="E100:F100"/>
    <mergeCell ref="B102:C102"/>
    <mergeCell ref="B101:C101"/>
    <mergeCell ref="E101:F101"/>
    <mergeCell ref="E91:F91"/>
    <mergeCell ref="E92:F92"/>
    <mergeCell ref="E93:F93"/>
    <mergeCell ref="E94:F94"/>
    <mergeCell ref="G94:H94"/>
    <mergeCell ref="I94:K94"/>
    <mergeCell ref="G103:H103"/>
    <mergeCell ref="K176:M176"/>
    <mergeCell ref="I89:K89"/>
    <mergeCell ref="I90:K90"/>
    <mergeCell ref="G89:H89"/>
    <mergeCell ref="K136:M136"/>
    <mergeCell ref="K113:M113"/>
    <mergeCell ref="G91:H91"/>
    <mergeCell ref="I93:K93"/>
    <mergeCell ref="G90:H90"/>
    <mergeCell ref="K186:M186"/>
    <mergeCell ref="K185:M185"/>
    <mergeCell ref="K183:M183"/>
    <mergeCell ref="B182:D182"/>
    <mergeCell ref="I99:K99"/>
    <mergeCell ref="K180:M180"/>
    <mergeCell ref="K135:M135"/>
    <mergeCell ref="H172:J172"/>
    <mergeCell ref="I103:K103"/>
    <mergeCell ref="L104:M104"/>
    <mergeCell ref="H184:J184"/>
    <mergeCell ref="B183:D183"/>
    <mergeCell ref="H183:J183"/>
    <mergeCell ref="K178:M178"/>
    <mergeCell ref="H178:J178"/>
    <mergeCell ref="F179:G179"/>
    <mergeCell ref="K184:M184"/>
    <mergeCell ref="K179:M179"/>
    <mergeCell ref="K177:M177"/>
    <mergeCell ref="H177:J177"/>
    <mergeCell ref="F170:G170"/>
    <mergeCell ref="B178:D178"/>
    <mergeCell ref="K174:M174"/>
    <mergeCell ref="B175:D175"/>
    <mergeCell ref="K170:M170"/>
    <mergeCell ref="F178:G178"/>
    <mergeCell ref="F175:G175"/>
    <mergeCell ref="H175:J175"/>
    <mergeCell ref="F187:G187"/>
    <mergeCell ref="B186:D186"/>
    <mergeCell ref="F186:G186"/>
    <mergeCell ref="F180:G180"/>
    <mergeCell ref="F185:G185"/>
    <mergeCell ref="B185:D185"/>
    <mergeCell ref="B181:D181"/>
    <mergeCell ref="F182:G182"/>
    <mergeCell ref="F184:G184"/>
    <mergeCell ref="D192:E192"/>
    <mergeCell ref="B187:D187"/>
    <mergeCell ref="K173:M173"/>
    <mergeCell ref="H182:J182"/>
    <mergeCell ref="H180:J180"/>
    <mergeCell ref="B176:D176"/>
    <mergeCell ref="H186:J186"/>
    <mergeCell ref="B174:D174"/>
    <mergeCell ref="B177:D177"/>
    <mergeCell ref="B188:D188"/>
    <mergeCell ref="B192:C192"/>
    <mergeCell ref="H189:J189"/>
    <mergeCell ref="F193:G193"/>
    <mergeCell ref="F188:G188"/>
    <mergeCell ref="B193:C193"/>
    <mergeCell ref="H188:J188"/>
    <mergeCell ref="B189:D189"/>
    <mergeCell ref="H192:J192"/>
    <mergeCell ref="B191:M191"/>
    <mergeCell ref="D193:E193"/>
    <mergeCell ref="H193:J193"/>
    <mergeCell ref="B203:C203"/>
    <mergeCell ref="B201:C201"/>
    <mergeCell ref="H194:J194"/>
    <mergeCell ref="F198:G198"/>
    <mergeCell ref="B197:M197"/>
    <mergeCell ref="H203:J203"/>
    <mergeCell ref="B200:C200"/>
    <mergeCell ref="D200:E200"/>
    <mergeCell ref="D198:E198"/>
    <mergeCell ref="D199:E199"/>
    <mergeCell ref="D201:E201"/>
    <mergeCell ref="F200:G200"/>
    <mergeCell ref="D195:E195"/>
    <mergeCell ref="B194:C194"/>
    <mergeCell ref="F194:G194"/>
    <mergeCell ref="D194:E194"/>
    <mergeCell ref="B198:C198"/>
    <mergeCell ref="B199:C199"/>
    <mergeCell ref="B195:C195"/>
    <mergeCell ref="H241:I241"/>
    <mergeCell ref="K344:M344"/>
    <mergeCell ref="C329:C330"/>
    <mergeCell ref="K193:M193"/>
    <mergeCell ref="K201:M201"/>
    <mergeCell ref="J310:K310"/>
    <mergeCell ref="B265:D266"/>
    <mergeCell ref="E323:E324"/>
    <mergeCell ref="F207:G207"/>
    <mergeCell ref="B202:C202"/>
    <mergeCell ref="E356:G356"/>
    <mergeCell ref="K360:M360"/>
    <mergeCell ref="B346:M346"/>
    <mergeCell ref="B347:C348"/>
    <mergeCell ref="J329:K329"/>
    <mergeCell ref="L291:M291"/>
    <mergeCell ref="J323:K323"/>
    <mergeCell ref="H329:I329"/>
    <mergeCell ref="C344:F344"/>
    <mergeCell ref="F291:G291"/>
    <mergeCell ref="B373:D373"/>
    <mergeCell ref="B369:D369"/>
    <mergeCell ref="K343:M343"/>
    <mergeCell ref="B342:B343"/>
    <mergeCell ref="B362:D362"/>
    <mergeCell ref="K361:M361"/>
    <mergeCell ref="G342:M342"/>
    <mergeCell ref="C342:F343"/>
    <mergeCell ref="B354:C354"/>
    <mergeCell ref="B349:C349"/>
    <mergeCell ref="K366:M366"/>
    <mergeCell ref="E363:J363"/>
    <mergeCell ref="E366:J366"/>
    <mergeCell ref="E368:J368"/>
    <mergeCell ref="B372:M372"/>
    <mergeCell ref="E367:J367"/>
    <mergeCell ref="B371:M371"/>
    <mergeCell ref="B363:D363"/>
    <mergeCell ref="B368:D368"/>
    <mergeCell ref="B391:F391"/>
    <mergeCell ref="B378:M378"/>
    <mergeCell ref="K379:M379"/>
    <mergeCell ref="B381:F381"/>
    <mergeCell ref="B382:F382"/>
    <mergeCell ref="G382:J382"/>
    <mergeCell ref="B383:F383"/>
    <mergeCell ref="G379:J379"/>
    <mergeCell ref="B379:F379"/>
    <mergeCell ref="B389:F389"/>
    <mergeCell ref="B380:F380"/>
    <mergeCell ref="B387:F387"/>
    <mergeCell ref="B384:F384"/>
    <mergeCell ref="B385:F385"/>
    <mergeCell ref="B390:F390"/>
    <mergeCell ref="G381:J381"/>
    <mergeCell ref="G386:J386"/>
    <mergeCell ref="G383:J383"/>
    <mergeCell ref="G388:J388"/>
    <mergeCell ref="G387:J387"/>
    <mergeCell ref="B388:F388"/>
    <mergeCell ref="G389:J389"/>
    <mergeCell ref="G380:J380"/>
    <mergeCell ref="G385:J385"/>
    <mergeCell ref="G384:J384"/>
    <mergeCell ref="B421:F421"/>
    <mergeCell ref="G408:J408"/>
    <mergeCell ref="G403:J403"/>
    <mergeCell ref="G404:J404"/>
    <mergeCell ref="G409:J409"/>
    <mergeCell ref="G405:J405"/>
    <mergeCell ref="G410:J410"/>
    <mergeCell ref="G391:J391"/>
    <mergeCell ref="G421:J421"/>
    <mergeCell ref="B417:F417"/>
    <mergeCell ref="G418:J418"/>
    <mergeCell ref="G419:J419"/>
    <mergeCell ref="B420:F420"/>
    <mergeCell ref="G392:J392"/>
    <mergeCell ref="B402:F402"/>
    <mergeCell ref="B408:F408"/>
    <mergeCell ref="G390:J390"/>
    <mergeCell ref="B409:F409"/>
    <mergeCell ref="B410:F410"/>
    <mergeCell ref="G411:J411"/>
    <mergeCell ref="G416:J416"/>
    <mergeCell ref="G415:J415"/>
    <mergeCell ref="G396:J396"/>
    <mergeCell ref="B394:F394"/>
    <mergeCell ref="B407:F407"/>
    <mergeCell ref="G414:J414"/>
    <mergeCell ref="B411:F411"/>
    <mergeCell ref="G417:J417"/>
    <mergeCell ref="G412:J412"/>
    <mergeCell ref="G413:J413"/>
    <mergeCell ref="G394:J394"/>
    <mergeCell ref="B397:F397"/>
    <mergeCell ref="B395:F395"/>
    <mergeCell ref="G400:J400"/>
    <mergeCell ref="B405:F405"/>
    <mergeCell ref="G407:J407"/>
    <mergeCell ref="K397:M397"/>
    <mergeCell ref="K398:M398"/>
    <mergeCell ref="K399:M399"/>
    <mergeCell ref="K400:M400"/>
    <mergeCell ref="K401:M401"/>
    <mergeCell ref="G399:J399"/>
    <mergeCell ref="G401:J401"/>
    <mergeCell ref="G402:J402"/>
    <mergeCell ref="G406:J406"/>
    <mergeCell ref="K387:M387"/>
    <mergeCell ref="K388:M388"/>
    <mergeCell ref="K389:M389"/>
    <mergeCell ref="B403:F403"/>
    <mergeCell ref="B398:F398"/>
    <mergeCell ref="B396:F396"/>
    <mergeCell ref="B393:F393"/>
    <mergeCell ref="B401:F401"/>
    <mergeCell ref="G397:J397"/>
    <mergeCell ref="B392:F392"/>
    <mergeCell ref="K410:M410"/>
    <mergeCell ref="K411:M411"/>
    <mergeCell ref="K405:M405"/>
    <mergeCell ref="K402:M402"/>
    <mergeCell ref="K403:M403"/>
    <mergeCell ref="K404:M404"/>
    <mergeCell ref="K408:M408"/>
    <mergeCell ref="K406:M406"/>
    <mergeCell ref="K412:M412"/>
    <mergeCell ref="G395:J395"/>
    <mergeCell ref="K390:M390"/>
    <mergeCell ref="K391:M391"/>
    <mergeCell ref="K392:M392"/>
    <mergeCell ref="K393:M393"/>
    <mergeCell ref="K394:M394"/>
    <mergeCell ref="K395:M395"/>
    <mergeCell ref="K396:M396"/>
    <mergeCell ref="K409:M409"/>
    <mergeCell ref="K381:M381"/>
    <mergeCell ref="B399:F399"/>
    <mergeCell ref="B400:F400"/>
    <mergeCell ref="K383:M383"/>
    <mergeCell ref="K382:M382"/>
    <mergeCell ref="K384:M384"/>
    <mergeCell ref="K385:M385"/>
    <mergeCell ref="K386:M386"/>
    <mergeCell ref="G398:J398"/>
    <mergeCell ref="G393:J393"/>
    <mergeCell ref="B412:F412"/>
    <mergeCell ref="B413:F413"/>
    <mergeCell ref="B414:F414"/>
    <mergeCell ref="B418:F418"/>
    <mergeCell ref="B416:F416"/>
    <mergeCell ref="B419:F419"/>
    <mergeCell ref="B415:F415"/>
    <mergeCell ref="G425:J425"/>
    <mergeCell ref="G422:J422"/>
    <mergeCell ref="G420:J420"/>
    <mergeCell ref="G424:J424"/>
    <mergeCell ref="G426:J426"/>
    <mergeCell ref="B431:F431"/>
    <mergeCell ref="B423:F423"/>
    <mergeCell ref="B424:F424"/>
    <mergeCell ref="B425:F425"/>
    <mergeCell ref="B422:F422"/>
    <mergeCell ref="G428:J428"/>
    <mergeCell ref="G436:J436"/>
    <mergeCell ref="B428:F428"/>
    <mergeCell ref="B435:F435"/>
    <mergeCell ref="G430:J430"/>
    <mergeCell ref="B430:F430"/>
    <mergeCell ref="B432:F432"/>
    <mergeCell ref="B429:F429"/>
    <mergeCell ref="B433:F433"/>
    <mergeCell ref="G432:J432"/>
    <mergeCell ref="B441:F441"/>
    <mergeCell ref="G441:J441"/>
    <mergeCell ref="K441:M441"/>
    <mergeCell ref="G433:J433"/>
    <mergeCell ref="B436:F436"/>
    <mergeCell ref="G434:J434"/>
    <mergeCell ref="K436:M436"/>
    <mergeCell ref="B434:F434"/>
    <mergeCell ref="B451:F451"/>
    <mergeCell ref="G460:J460"/>
    <mergeCell ref="G458:J458"/>
    <mergeCell ref="B437:F437"/>
    <mergeCell ref="B438:F438"/>
    <mergeCell ref="G446:J446"/>
    <mergeCell ref="B440:M440"/>
    <mergeCell ref="K444:M444"/>
    <mergeCell ref="K445:M445"/>
    <mergeCell ref="B448:F448"/>
    <mergeCell ref="B465:F465"/>
    <mergeCell ref="K466:M466"/>
    <mergeCell ref="K457:M457"/>
    <mergeCell ref="K458:M458"/>
    <mergeCell ref="G463:J463"/>
    <mergeCell ref="G465:J465"/>
    <mergeCell ref="B460:F460"/>
    <mergeCell ref="B461:F461"/>
    <mergeCell ref="G459:J459"/>
    <mergeCell ref="G457:J457"/>
    <mergeCell ref="G478:J478"/>
    <mergeCell ref="G464:J464"/>
    <mergeCell ref="G450:J450"/>
    <mergeCell ref="K464:M464"/>
    <mergeCell ref="K462:M462"/>
    <mergeCell ref="K463:M463"/>
    <mergeCell ref="G456:J456"/>
    <mergeCell ref="B468:M468"/>
    <mergeCell ref="B462:F462"/>
    <mergeCell ref="B450:F450"/>
    <mergeCell ref="B473:F473"/>
    <mergeCell ref="B478:F478"/>
    <mergeCell ref="B470:F470"/>
    <mergeCell ref="B471:F471"/>
    <mergeCell ref="B466:F466"/>
    <mergeCell ref="G472:J472"/>
    <mergeCell ref="B477:M477"/>
    <mergeCell ref="K478:M478"/>
    <mergeCell ref="G471:J471"/>
    <mergeCell ref="B472:F472"/>
    <mergeCell ref="B469:F469"/>
    <mergeCell ref="G466:J466"/>
    <mergeCell ref="G470:J470"/>
    <mergeCell ref="G431:J431"/>
    <mergeCell ref="G429:J429"/>
    <mergeCell ref="G461:J461"/>
    <mergeCell ref="B457:F457"/>
    <mergeCell ref="B458:F458"/>
    <mergeCell ref="G462:J462"/>
    <mergeCell ref="B459:F459"/>
    <mergeCell ref="E374:J374"/>
    <mergeCell ref="B406:F406"/>
    <mergeCell ref="B426:F426"/>
    <mergeCell ref="G423:J423"/>
    <mergeCell ref="K430:M430"/>
    <mergeCell ref="K426:M426"/>
    <mergeCell ref="B376:D376"/>
    <mergeCell ref="K414:M414"/>
    <mergeCell ref="K407:M407"/>
    <mergeCell ref="G427:J427"/>
    <mergeCell ref="B427:F427"/>
    <mergeCell ref="G451:J451"/>
    <mergeCell ref="I97:K97"/>
    <mergeCell ref="E95:F95"/>
    <mergeCell ref="E96:F96"/>
    <mergeCell ref="G95:H95"/>
    <mergeCell ref="G96:H96"/>
    <mergeCell ref="I95:K95"/>
    <mergeCell ref="I96:K96"/>
    <mergeCell ref="K375:M375"/>
    <mergeCell ref="B96:C96"/>
    <mergeCell ref="I91:K91"/>
    <mergeCell ref="B94:C94"/>
    <mergeCell ref="B264:M264"/>
    <mergeCell ref="H265:I266"/>
    <mergeCell ref="F189:G189"/>
    <mergeCell ref="B184:D184"/>
    <mergeCell ref="H181:J181"/>
    <mergeCell ref="L254:M254"/>
    <mergeCell ref="B95:C95"/>
    <mergeCell ref="K194:M194"/>
    <mergeCell ref="G344:J344"/>
    <mergeCell ref="F329:G329"/>
    <mergeCell ref="J224:M248"/>
    <mergeCell ref="L329:M329"/>
    <mergeCell ref="H247:I247"/>
    <mergeCell ref="H236:I236"/>
    <mergeCell ref="E239:G239"/>
    <mergeCell ref="H201:J201"/>
    <mergeCell ref="H287:I287"/>
    <mergeCell ref="B329:B330"/>
    <mergeCell ref="B236:C236"/>
    <mergeCell ref="B238:C238"/>
    <mergeCell ref="C261:C262"/>
    <mergeCell ref="B239:C239"/>
    <mergeCell ref="E238:G238"/>
    <mergeCell ref="B247:C247"/>
    <mergeCell ref="E240:G240"/>
    <mergeCell ref="F255:G256"/>
    <mergeCell ref="D245:D246"/>
    <mergeCell ref="L90:M90"/>
    <mergeCell ref="G93:H93"/>
    <mergeCell ref="F176:G176"/>
    <mergeCell ref="F192:G192"/>
    <mergeCell ref="K188:M188"/>
    <mergeCell ref="B169:M169"/>
    <mergeCell ref="G97:H97"/>
    <mergeCell ref="L97:M97"/>
    <mergeCell ref="F183:G183"/>
    <mergeCell ref="F181:G181"/>
    <mergeCell ref="L101:M101"/>
    <mergeCell ref="L267:M267"/>
    <mergeCell ref="J267:K267"/>
    <mergeCell ref="J268:K268"/>
    <mergeCell ref="L323:M323"/>
    <mergeCell ref="J287:K287"/>
    <mergeCell ref="B106:M106"/>
    <mergeCell ref="K107:M107"/>
    <mergeCell ref="H114:J114"/>
    <mergeCell ref="B110:C110"/>
    <mergeCell ref="G104:H104"/>
    <mergeCell ref="K111:M111"/>
    <mergeCell ref="B456:F456"/>
    <mergeCell ref="K437:M437"/>
    <mergeCell ref="K455:M455"/>
    <mergeCell ref="K452:M452"/>
    <mergeCell ref="G343:J343"/>
    <mergeCell ref="J347:M348"/>
    <mergeCell ref="H347:I348"/>
    <mergeCell ref="K428:M428"/>
    <mergeCell ref="B454:M454"/>
    <mergeCell ref="K376:M376"/>
    <mergeCell ref="B361:D361"/>
    <mergeCell ref="K369:M369"/>
    <mergeCell ref="G449:J449"/>
    <mergeCell ref="K429:M429"/>
    <mergeCell ref="G452:J452"/>
    <mergeCell ref="K449:M449"/>
    <mergeCell ref="K438:M438"/>
    <mergeCell ref="K431:M431"/>
    <mergeCell ref="K479:M479"/>
    <mergeCell ref="G482:J482"/>
    <mergeCell ref="B481:F481"/>
    <mergeCell ref="K482:M482"/>
    <mergeCell ref="K473:M473"/>
    <mergeCell ref="K451:M451"/>
    <mergeCell ref="K460:M460"/>
    <mergeCell ref="B482:F482"/>
    <mergeCell ref="K474:M474"/>
    <mergeCell ref="K456:M456"/>
    <mergeCell ref="F506:G506"/>
    <mergeCell ref="K480:M480"/>
    <mergeCell ref="K481:M481"/>
    <mergeCell ref="G501:M501"/>
    <mergeCell ref="B495:I495"/>
    <mergeCell ref="B452:F452"/>
    <mergeCell ref="B455:F455"/>
    <mergeCell ref="G455:J455"/>
    <mergeCell ref="F504:G504"/>
    <mergeCell ref="G479:J479"/>
    <mergeCell ref="G448:J448"/>
    <mergeCell ref="G443:J443"/>
    <mergeCell ref="B446:F446"/>
    <mergeCell ref="K446:M446"/>
    <mergeCell ref="B447:F447"/>
    <mergeCell ref="K448:M448"/>
    <mergeCell ref="B444:F444"/>
    <mergeCell ref="B445:F445"/>
    <mergeCell ref="G444:J444"/>
    <mergeCell ref="G445:J445"/>
    <mergeCell ref="B449:F449"/>
    <mergeCell ref="B506:C506"/>
    <mergeCell ref="G481:J481"/>
    <mergeCell ref="K459:M459"/>
    <mergeCell ref="G480:J480"/>
    <mergeCell ref="B474:F474"/>
    <mergeCell ref="B475:F475"/>
    <mergeCell ref="G473:J473"/>
    <mergeCell ref="G474:J474"/>
    <mergeCell ref="B480:F480"/>
    <mergeCell ref="K471:M471"/>
    <mergeCell ref="K470:M470"/>
    <mergeCell ref="K465:M465"/>
    <mergeCell ref="K469:M469"/>
    <mergeCell ref="G469:J469"/>
    <mergeCell ref="K475:M475"/>
    <mergeCell ref="B463:F463"/>
    <mergeCell ref="B464:F464"/>
    <mergeCell ref="B375:D375"/>
    <mergeCell ref="K374:M374"/>
    <mergeCell ref="K427:M427"/>
    <mergeCell ref="K425:M425"/>
    <mergeCell ref="K380:M380"/>
    <mergeCell ref="K450:M450"/>
    <mergeCell ref="K447:M447"/>
    <mergeCell ref="K432:M432"/>
    <mergeCell ref="B351:C351"/>
    <mergeCell ref="K362:M362"/>
    <mergeCell ref="K363:M363"/>
    <mergeCell ref="B355:C355"/>
    <mergeCell ref="K373:M373"/>
    <mergeCell ref="K367:M367"/>
    <mergeCell ref="E361:J361"/>
    <mergeCell ref="B359:M359"/>
    <mergeCell ref="E357:G357"/>
    <mergeCell ref="E373:J373"/>
    <mergeCell ref="J521:M521"/>
    <mergeCell ref="B517:I517"/>
    <mergeCell ref="B518:I518"/>
    <mergeCell ref="B519:I519"/>
    <mergeCell ref="B520:I520"/>
    <mergeCell ref="K415:M415"/>
    <mergeCell ref="B521:I521"/>
    <mergeCell ref="K417:M417"/>
    <mergeCell ref="K435:M435"/>
    <mergeCell ref="K419:M419"/>
    <mergeCell ref="J518:M518"/>
    <mergeCell ref="J517:M517"/>
    <mergeCell ref="K434:M434"/>
    <mergeCell ref="K433:M433"/>
    <mergeCell ref="K424:M424"/>
    <mergeCell ref="K418:M418"/>
    <mergeCell ref="G438:J438"/>
    <mergeCell ref="K461:M461"/>
    <mergeCell ref="G475:J475"/>
    <mergeCell ref="K472:M472"/>
    <mergeCell ref="F299:G299"/>
    <mergeCell ref="H299:I299"/>
    <mergeCell ref="K423:M423"/>
    <mergeCell ref="K416:M416"/>
    <mergeCell ref="K420:M420"/>
    <mergeCell ref="K422:M422"/>
    <mergeCell ref="K421:M421"/>
    <mergeCell ref="J349:M349"/>
    <mergeCell ref="K413:M413"/>
    <mergeCell ref="B365:M365"/>
    <mergeCell ref="B287:E287"/>
    <mergeCell ref="J519:M519"/>
    <mergeCell ref="B367:D367"/>
    <mergeCell ref="E362:J362"/>
    <mergeCell ref="J520:M520"/>
    <mergeCell ref="E350:G350"/>
    <mergeCell ref="J350:M357"/>
    <mergeCell ref="E351:G351"/>
    <mergeCell ref="B404:F404"/>
    <mergeCell ref="E353:G353"/>
    <mergeCell ref="D347:D348"/>
    <mergeCell ref="B350:C350"/>
    <mergeCell ref="B357:C357"/>
    <mergeCell ref="B386:F386"/>
    <mergeCell ref="H267:I267"/>
    <mergeCell ref="E349:G349"/>
    <mergeCell ref="E347:G348"/>
    <mergeCell ref="E375:J375"/>
    <mergeCell ref="E369:J369"/>
    <mergeCell ref="E360:J360"/>
    <mergeCell ref="B374:D374"/>
    <mergeCell ref="K368:M368"/>
    <mergeCell ref="E355:G355"/>
    <mergeCell ref="B352:C352"/>
    <mergeCell ref="E352:G352"/>
    <mergeCell ref="B353:C353"/>
    <mergeCell ref="E354:G354"/>
    <mergeCell ref="B360:D360"/>
    <mergeCell ref="B366:D366"/>
    <mergeCell ref="B356:C356"/>
    <mergeCell ref="H107:J107"/>
    <mergeCell ref="F115:G115"/>
    <mergeCell ref="H115:J115"/>
    <mergeCell ref="D107:E107"/>
    <mergeCell ref="B115:C115"/>
    <mergeCell ref="H109:J109"/>
    <mergeCell ref="H108:J108"/>
    <mergeCell ref="H110:J110"/>
    <mergeCell ref="B114:C114"/>
    <mergeCell ref="B107:C107"/>
    <mergeCell ref="F111:G111"/>
    <mergeCell ref="B108:C108"/>
    <mergeCell ref="B113:C113"/>
    <mergeCell ref="B109:C109"/>
    <mergeCell ref="F113:G113"/>
    <mergeCell ref="F114:G114"/>
    <mergeCell ref="B112:C112"/>
    <mergeCell ref="F118:G118"/>
    <mergeCell ref="H118:J118"/>
    <mergeCell ref="K118:M118"/>
    <mergeCell ref="K115:M115"/>
    <mergeCell ref="H117:J117"/>
    <mergeCell ref="B116:C116"/>
    <mergeCell ref="F116:G116"/>
    <mergeCell ref="H116:J116"/>
    <mergeCell ref="K116:M116"/>
    <mergeCell ref="H119:J119"/>
    <mergeCell ref="K119:M119"/>
    <mergeCell ref="F120:G120"/>
    <mergeCell ref="H120:J120"/>
    <mergeCell ref="K120:M120"/>
    <mergeCell ref="B121:C121"/>
    <mergeCell ref="F121:G121"/>
    <mergeCell ref="H121:J121"/>
    <mergeCell ref="K121:M121"/>
    <mergeCell ref="B120:C120"/>
    <mergeCell ref="F122:G122"/>
    <mergeCell ref="H122:J122"/>
    <mergeCell ref="K122:M122"/>
    <mergeCell ref="B123:C123"/>
    <mergeCell ref="F123:G123"/>
    <mergeCell ref="H123:J123"/>
    <mergeCell ref="K123:M123"/>
    <mergeCell ref="B122:C122"/>
    <mergeCell ref="B124:C124"/>
    <mergeCell ref="F124:G124"/>
    <mergeCell ref="H124:J124"/>
    <mergeCell ref="K124:M124"/>
    <mergeCell ref="B125:C125"/>
    <mergeCell ref="F125:G125"/>
    <mergeCell ref="H125:J125"/>
    <mergeCell ref="K125:M125"/>
    <mergeCell ref="B126:C126"/>
    <mergeCell ref="F126:G126"/>
    <mergeCell ref="H126:J126"/>
    <mergeCell ref="K126:M126"/>
    <mergeCell ref="B127:C127"/>
    <mergeCell ref="F127:G127"/>
    <mergeCell ref="H127:J127"/>
    <mergeCell ref="K127:M127"/>
    <mergeCell ref="B128:C128"/>
    <mergeCell ref="F128:G128"/>
    <mergeCell ref="H128:J128"/>
    <mergeCell ref="K128:M128"/>
    <mergeCell ref="B129:C129"/>
    <mergeCell ref="F129:G129"/>
    <mergeCell ref="H129:J129"/>
    <mergeCell ref="K129:M129"/>
    <mergeCell ref="B130:C130"/>
    <mergeCell ref="F130:G130"/>
    <mergeCell ref="H130:J130"/>
    <mergeCell ref="K130:M130"/>
    <mergeCell ref="B131:C131"/>
    <mergeCell ref="F131:G131"/>
    <mergeCell ref="H131:J131"/>
    <mergeCell ref="K131:M131"/>
    <mergeCell ref="B132:C132"/>
    <mergeCell ref="D132:E133"/>
    <mergeCell ref="F132:G132"/>
    <mergeCell ref="H132:J132"/>
    <mergeCell ref="K132:M132"/>
    <mergeCell ref="B133:C133"/>
    <mergeCell ref="F133:G133"/>
    <mergeCell ref="H133:J133"/>
    <mergeCell ref="K133:M133"/>
    <mergeCell ref="B134:C134"/>
    <mergeCell ref="D134:E147"/>
    <mergeCell ref="F134:G134"/>
    <mergeCell ref="H134:J134"/>
    <mergeCell ref="K134:M134"/>
    <mergeCell ref="B136:C136"/>
    <mergeCell ref="F136:G136"/>
    <mergeCell ref="B137:C137"/>
    <mergeCell ref="F137:G137"/>
    <mergeCell ref="H137:J137"/>
    <mergeCell ref="K137:M137"/>
    <mergeCell ref="B138:C138"/>
    <mergeCell ref="F138:G138"/>
    <mergeCell ref="H138:J138"/>
    <mergeCell ref="K138:M138"/>
    <mergeCell ref="B139:C139"/>
    <mergeCell ref="F139:G139"/>
    <mergeCell ref="H139:J139"/>
    <mergeCell ref="K139:M139"/>
    <mergeCell ref="B141:C141"/>
    <mergeCell ref="F141:G141"/>
    <mergeCell ref="H141:J141"/>
    <mergeCell ref="K141:M141"/>
    <mergeCell ref="F140:G140"/>
    <mergeCell ref="B142:C142"/>
    <mergeCell ref="F142:G142"/>
    <mergeCell ref="H142:J142"/>
    <mergeCell ref="K142:M142"/>
    <mergeCell ref="H140:J140"/>
    <mergeCell ref="B147:C147"/>
    <mergeCell ref="F147:G147"/>
    <mergeCell ref="H147:J147"/>
    <mergeCell ref="K147:M147"/>
    <mergeCell ref="H145:J145"/>
    <mergeCell ref="B146:C146"/>
    <mergeCell ref="K146:M146"/>
    <mergeCell ref="K145:M145"/>
    <mergeCell ref="H146:J146"/>
    <mergeCell ref="F145:G145"/>
    <mergeCell ref="B148:C148"/>
    <mergeCell ref="D148:E148"/>
    <mergeCell ref="F148:G148"/>
    <mergeCell ref="H148:J148"/>
    <mergeCell ref="K148:M148"/>
    <mergeCell ref="B149:C149"/>
    <mergeCell ref="D149:E149"/>
    <mergeCell ref="F149:G149"/>
    <mergeCell ref="H149:J149"/>
    <mergeCell ref="K149:M149"/>
    <mergeCell ref="B150:C150"/>
    <mergeCell ref="D150:E152"/>
    <mergeCell ref="F150:G150"/>
    <mergeCell ref="H150:J150"/>
    <mergeCell ref="K150:M150"/>
    <mergeCell ref="B151:C151"/>
    <mergeCell ref="F151:G151"/>
    <mergeCell ref="H151:J151"/>
    <mergeCell ref="K151:M151"/>
    <mergeCell ref="B152:C152"/>
    <mergeCell ref="F152:G152"/>
    <mergeCell ref="H152:J152"/>
    <mergeCell ref="K152:M152"/>
    <mergeCell ref="B153:C153"/>
    <mergeCell ref="D153:E158"/>
    <mergeCell ref="F153:G153"/>
    <mergeCell ref="H153:J153"/>
    <mergeCell ref="K153:M153"/>
    <mergeCell ref="B154:C154"/>
    <mergeCell ref="F154:G154"/>
    <mergeCell ref="H154:J154"/>
    <mergeCell ref="K154:M154"/>
    <mergeCell ref="B155:C155"/>
    <mergeCell ref="F155:G155"/>
    <mergeCell ref="H155:J155"/>
    <mergeCell ref="K155:M155"/>
    <mergeCell ref="B156:C156"/>
    <mergeCell ref="F156:G156"/>
    <mergeCell ref="H156:J156"/>
    <mergeCell ref="K156:M156"/>
    <mergeCell ref="B163:C163"/>
    <mergeCell ref="B157:C157"/>
    <mergeCell ref="F157:G157"/>
    <mergeCell ref="H157:J157"/>
    <mergeCell ref="K157:M157"/>
    <mergeCell ref="B158:C158"/>
    <mergeCell ref="K158:M158"/>
    <mergeCell ref="H161:J161"/>
    <mergeCell ref="K161:M161"/>
    <mergeCell ref="H158:J158"/>
    <mergeCell ref="K164:M164"/>
    <mergeCell ref="F160:G160"/>
    <mergeCell ref="H160:J160"/>
    <mergeCell ref="F164:G164"/>
    <mergeCell ref="H164:J164"/>
    <mergeCell ref="K159:M159"/>
    <mergeCell ref="K165:M165"/>
    <mergeCell ref="B162:C162"/>
    <mergeCell ref="D162:E165"/>
    <mergeCell ref="F162:G162"/>
    <mergeCell ref="H162:J162"/>
    <mergeCell ref="K162:M162"/>
    <mergeCell ref="H163:J163"/>
    <mergeCell ref="K163:M163"/>
    <mergeCell ref="B164:C164"/>
    <mergeCell ref="F163:G163"/>
    <mergeCell ref="K167:M167"/>
    <mergeCell ref="H56:J56"/>
    <mergeCell ref="K175:M175"/>
    <mergeCell ref="B172:D172"/>
    <mergeCell ref="B170:D170"/>
    <mergeCell ref="H170:J170"/>
    <mergeCell ref="K172:M172"/>
    <mergeCell ref="H173:J173"/>
    <mergeCell ref="B171:D171"/>
    <mergeCell ref="K171:M171"/>
    <mergeCell ref="F167:G167"/>
    <mergeCell ref="H167:J167"/>
    <mergeCell ref="B165:C165"/>
    <mergeCell ref="F165:G165"/>
    <mergeCell ref="H165:J165"/>
    <mergeCell ref="B167:C167"/>
    <mergeCell ref="B80:C81"/>
    <mergeCell ref="E83:F83"/>
    <mergeCell ref="B66:C66"/>
    <mergeCell ref="B76:C76"/>
    <mergeCell ref="B77:C77"/>
    <mergeCell ref="K42:M42"/>
    <mergeCell ref="E80:F81"/>
    <mergeCell ref="L72:M72"/>
    <mergeCell ref="L77:M77"/>
    <mergeCell ref="L66:M66"/>
    <mergeCell ref="B42:G42"/>
    <mergeCell ref="B79:M79"/>
    <mergeCell ref="B97:C97"/>
    <mergeCell ref="B166:C166"/>
    <mergeCell ref="D166:E166"/>
    <mergeCell ref="F166:G166"/>
    <mergeCell ref="H166:J166"/>
    <mergeCell ref="E97:F97"/>
    <mergeCell ref="B161:C161"/>
    <mergeCell ref="F161:G161"/>
    <mergeCell ref="B300:E300"/>
    <mergeCell ref="F300:G300"/>
    <mergeCell ref="H300:I300"/>
    <mergeCell ref="J300:K300"/>
    <mergeCell ref="L300:M300"/>
    <mergeCell ref="F158:G158"/>
    <mergeCell ref="H288:I288"/>
    <mergeCell ref="J299:K299"/>
    <mergeCell ref="F288:G288"/>
    <mergeCell ref="J288:K288"/>
    <mergeCell ref="B82:C82"/>
    <mergeCell ref="E82:F82"/>
    <mergeCell ref="G82:H82"/>
    <mergeCell ref="I82:K82"/>
    <mergeCell ref="L82:M82"/>
    <mergeCell ref="L299:M299"/>
    <mergeCell ref="L288:M288"/>
    <mergeCell ref="H291:I291"/>
    <mergeCell ref="I83:K83"/>
    <mergeCell ref="D167:E167"/>
    <mergeCell ref="B24:M24"/>
    <mergeCell ref="B25:C25"/>
    <mergeCell ref="D25:E25"/>
    <mergeCell ref="F25:G25"/>
    <mergeCell ref="H25:J25"/>
    <mergeCell ref="H308:I308"/>
    <mergeCell ref="J308:K308"/>
    <mergeCell ref="L308:M308"/>
    <mergeCell ref="H303:I303"/>
    <mergeCell ref="B303:B304"/>
    <mergeCell ref="H26:J26"/>
    <mergeCell ref="K26:M26"/>
    <mergeCell ref="D27:E27"/>
    <mergeCell ref="F27:G27"/>
    <mergeCell ref="H27:J27"/>
    <mergeCell ref="B320:E320"/>
    <mergeCell ref="F320:G320"/>
    <mergeCell ref="H320:I320"/>
    <mergeCell ref="L320:M320"/>
    <mergeCell ref="J320:K320"/>
    <mergeCell ref="I36:J36"/>
    <mergeCell ref="K36:M36"/>
    <mergeCell ref="K25:M25"/>
    <mergeCell ref="B26:C26"/>
    <mergeCell ref="B27:C27"/>
    <mergeCell ref="D26:E26"/>
    <mergeCell ref="F26:G26"/>
    <mergeCell ref="B35:C35"/>
    <mergeCell ref="K27:M27"/>
    <mergeCell ref="D35:E35"/>
    <mergeCell ref="F35:H35"/>
    <mergeCell ref="I35:J35"/>
    <mergeCell ref="K35:M35"/>
    <mergeCell ref="B32:C32"/>
    <mergeCell ref="F30:H30"/>
    <mergeCell ref="F31:H31"/>
  </mergeCells>
  <printOptions/>
  <pageMargins left="0" right="0.11811023622047245" top="0" bottom="0.7874015748031497" header="0.31496062992125984" footer="0.31496062992125984"/>
  <pageSetup horizontalDpi="600" verticalDpi="600" orientation="portrait" paperSize="9" scale="63" r:id="rId4"/>
  <drawing r:id="rId3"/>
  <legacyDrawing r:id="rId2"/>
  <oleObjects>
    <oleObject progId="Word.Document.12" shapeId="3479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N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.8515625" style="0" customWidth="1"/>
    <col min="3" max="3" width="18.8515625" style="0" customWidth="1"/>
  </cols>
  <sheetData>
    <row r="1" spans="2:13" ht="123" customHeight="1" thickBot="1">
      <c r="B1" s="760" t="s">
        <v>326</v>
      </c>
      <c r="C1" s="761"/>
      <c r="D1" s="762" t="s">
        <v>280</v>
      </c>
      <c r="E1" s="763"/>
      <c r="F1" s="763"/>
      <c r="G1" s="763"/>
      <c r="H1" s="763"/>
      <c r="I1" s="763"/>
      <c r="J1" s="763"/>
      <c r="K1" s="763"/>
      <c r="L1" s="763"/>
      <c r="M1" s="764"/>
    </row>
    <row r="2" spans="2:13" ht="51" customHeight="1">
      <c r="B2" s="3"/>
      <c r="C2" s="46"/>
      <c r="D2" s="47"/>
      <c r="E2" s="48"/>
      <c r="F2" s="48"/>
      <c r="G2" s="48"/>
      <c r="H2" s="48"/>
      <c r="I2" s="48"/>
      <c r="J2" s="48"/>
      <c r="K2" s="48"/>
      <c r="L2" s="48"/>
      <c r="M2" s="49"/>
    </row>
    <row r="3" ht="15.75" thickBot="1"/>
    <row r="4" spans="2:14" ht="15">
      <c r="B4" s="769" t="s">
        <v>281</v>
      </c>
      <c r="C4" s="770"/>
      <c r="D4" s="770"/>
      <c r="E4" s="770"/>
      <c r="F4" s="770"/>
      <c r="G4" s="770"/>
      <c r="H4" s="770"/>
      <c r="I4" s="770"/>
      <c r="J4" s="770"/>
      <c r="K4" s="770"/>
      <c r="L4" s="770" t="s">
        <v>284</v>
      </c>
      <c r="M4" s="770"/>
      <c r="N4" s="771"/>
    </row>
    <row r="5" spans="2:14" ht="15.75">
      <c r="B5" s="767" t="s">
        <v>282</v>
      </c>
      <c r="C5" s="768"/>
      <c r="D5" s="768"/>
      <c r="E5" s="768"/>
      <c r="F5" s="768"/>
      <c r="G5" s="768"/>
      <c r="H5" s="768"/>
      <c r="I5" s="768"/>
      <c r="J5" s="768"/>
      <c r="K5" s="768"/>
      <c r="L5" s="772" t="s">
        <v>285</v>
      </c>
      <c r="M5" s="772"/>
      <c r="N5" s="773"/>
    </row>
    <row r="6" spans="2:14" ht="15.75">
      <c r="B6" s="767" t="s">
        <v>283</v>
      </c>
      <c r="C6" s="768"/>
      <c r="D6" s="768"/>
      <c r="E6" s="768"/>
      <c r="F6" s="768"/>
      <c r="G6" s="768"/>
      <c r="H6" s="768"/>
      <c r="I6" s="768"/>
      <c r="J6" s="768"/>
      <c r="K6" s="768"/>
      <c r="L6" s="772" t="s">
        <v>286</v>
      </c>
      <c r="M6" s="772"/>
      <c r="N6" s="773"/>
    </row>
    <row r="7" spans="2:14" ht="15.75" customHeight="1">
      <c r="B7" s="765" t="s">
        <v>293</v>
      </c>
      <c r="C7" s="766"/>
      <c r="D7" s="766"/>
      <c r="E7" s="766"/>
      <c r="F7" s="766"/>
      <c r="G7" s="766"/>
      <c r="H7" s="766"/>
      <c r="I7" s="766"/>
      <c r="J7" s="766"/>
      <c r="K7" s="766"/>
      <c r="L7" s="772" t="s">
        <v>287</v>
      </c>
      <c r="M7" s="772"/>
      <c r="N7" s="773"/>
    </row>
    <row r="8" spans="2:14" ht="15.75" thickBot="1">
      <c r="B8" s="756" t="s">
        <v>325</v>
      </c>
      <c r="C8" s="757"/>
      <c r="D8" s="757"/>
      <c r="E8" s="757"/>
      <c r="F8" s="757"/>
      <c r="G8" s="757"/>
      <c r="H8" s="757"/>
      <c r="I8" s="757"/>
      <c r="J8" s="757"/>
      <c r="K8" s="757"/>
      <c r="L8" s="758" t="s">
        <v>1</v>
      </c>
      <c r="M8" s="758"/>
      <c r="N8" s="759"/>
    </row>
  </sheetData>
  <sheetProtection/>
  <mergeCells count="12">
    <mergeCell ref="L6:N6"/>
    <mergeCell ref="L7:N7"/>
    <mergeCell ref="B8:K8"/>
    <mergeCell ref="L8:N8"/>
    <mergeCell ref="B1:C1"/>
    <mergeCell ref="D1:M1"/>
    <mergeCell ref="B7:K7"/>
    <mergeCell ref="B6:K6"/>
    <mergeCell ref="B5:K5"/>
    <mergeCell ref="B4:K4"/>
    <mergeCell ref="L4:N4"/>
    <mergeCell ref="L5:N5"/>
  </mergeCells>
  <printOptions/>
  <pageMargins left="0.7" right="0.7" top="0.75" bottom="0.75" header="0.3" footer="0.3"/>
  <pageSetup horizontalDpi="600" verticalDpi="600" orientation="portrait" paperSize="9" scale="65" r:id="rId4"/>
  <drawing r:id="rId3"/>
  <legacyDrawing r:id="rId2"/>
  <oleObjects>
    <oleObject progId="Word.Document.12" shapeId="3479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2011-03-16T06:25:49Z</dcterms:modified>
  <cp:category/>
  <cp:version/>
  <cp:contentType/>
  <cp:contentStatus/>
</cp:coreProperties>
</file>