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птовый прайс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<sst xmlns="http://schemas.openxmlformats.org/spreadsheetml/2006/main" count="628" uniqueCount="308">
  <si>
    <t>Евровагонка, ель (ЦСК, г.Петрозаводск)</t>
  </si>
  <si>
    <t>размеры (толщина\ширина\длина)</t>
  </si>
  <si>
    <t>цена за кат. А, руб.</t>
  </si>
  <si>
    <t>цена за кат. В, руб.</t>
  </si>
  <si>
    <t>цена за кат. С, руб.</t>
  </si>
  <si>
    <r>
      <t>1 м</t>
    </r>
    <r>
      <rPr>
        <vertAlign val="superscript"/>
        <sz val="11"/>
        <color indexed="8"/>
        <rFont val="Arial"/>
        <family val="2"/>
      </rPr>
      <t>3</t>
    </r>
  </si>
  <si>
    <t>1 уп.</t>
  </si>
  <si>
    <t>12,5х96(88)х 2,0</t>
  </si>
  <si>
    <t>12,5х96(88)х 2,1</t>
  </si>
  <si>
    <t>12,5х96(88)х 2,4</t>
  </si>
  <si>
    <t>12,5х96(88)х 2,5</t>
  </si>
  <si>
    <t>12,5х96(88)х 2,7</t>
  </si>
  <si>
    <t>12,5х96(88)х 3,0</t>
  </si>
  <si>
    <t>12,5х96(88)х 3,6</t>
  </si>
  <si>
    <t>12,5х96(88)х 3,9</t>
  </si>
  <si>
    <t>12,5х96(88)х 4,0</t>
  </si>
  <si>
    <t>-</t>
  </si>
  <si>
    <t>Вагонка, липа (софтлайн, г. Йошкар-Ола)</t>
  </si>
  <si>
    <t>размеры (толщина\ширина), мм.</t>
  </si>
  <si>
    <t>длина, м.</t>
  </si>
  <si>
    <t>категория</t>
  </si>
  <si>
    <t>цена за п/м, руб.</t>
  </si>
  <si>
    <t>15х96(88)</t>
  </si>
  <si>
    <t>от 1,0 до 1,7</t>
  </si>
  <si>
    <t>от 1,8 до 1,9</t>
  </si>
  <si>
    <t xml:space="preserve">от 2,0 до 3,0 </t>
  </si>
  <si>
    <t>А</t>
  </si>
  <si>
    <t>Полок, липа</t>
  </si>
  <si>
    <t>кол-во штук в 1 упаковке</t>
  </si>
  <si>
    <t>26х90</t>
  </si>
  <si>
    <t>от 1,8 до 3,0</t>
  </si>
  <si>
    <t>наименование</t>
  </si>
  <si>
    <t xml:space="preserve">Наличник липа НГ 75х15 </t>
  </si>
  <si>
    <t xml:space="preserve">Плинтус  липа </t>
  </si>
  <si>
    <t>Галтель  липа  потолочная</t>
  </si>
  <si>
    <t>Уголок   липа</t>
  </si>
  <si>
    <t>Раскладка липа; грибок липа</t>
  </si>
  <si>
    <t>Блокхаус, хвоя</t>
  </si>
  <si>
    <r>
      <t>цена за 1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</t>
    </r>
  </si>
  <si>
    <t>20х96(88)х 3,0 кат.АВ</t>
  </si>
  <si>
    <t>20х96(88)х 4,0 кат.АВ</t>
  </si>
  <si>
    <t>Имитация бруса, хвоя</t>
  </si>
  <si>
    <t>Доска пола, хвоя (европол)</t>
  </si>
  <si>
    <t>Погонаж, хвоя (сращенный, сухой, строганый)</t>
  </si>
  <si>
    <t>цена за  п/м</t>
  </si>
  <si>
    <t>цена за  штуку</t>
  </si>
  <si>
    <t>Наличник НГ 50х12 кат.А</t>
  </si>
  <si>
    <t>Наличник НГ 60х12 кат.А</t>
  </si>
  <si>
    <t>Наличник НФ 60х12 кат.А</t>
  </si>
  <si>
    <t>Наличник НГ 70х12 кат.А</t>
  </si>
  <si>
    <t>Наличник НФ 70х14 кат.А</t>
  </si>
  <si>
    <t>Наличник НСФ 70х13 кат.А</t>
  </si>
  <si>
    <t>Наличник НГ 75х14 кат.А</t>
  </si>
  <si>
    <t>Наличник НФ 75х15 кат.А</t>
  </si>
  <si>
    <t>Наличник НГ 80х15 кат.А</t>
  </si>
  <si>
    <t>Наличник НФ 80х15 кат.А</t>
  </si>
  <si>
    <t>Наличник НГ 90х15 кат.А</t>
  </si>
  <si>
    <t>Брусок, хвоя (сухой,строганый)</t>
  </si>
  <si>
    <t>кол-во   штук в упак.</t>
  </si>
  <si>
    <t>цена за 1 п/м</t>
  </si>
  <si>
    <t>цена за 1 шт</t>
  </si>
  <si>
    <t>Брусок 20х45х 2,4</t>
  </si>
  <si>
    <t>Брусок 20х45х 3,0</t>
  </si>
  <si>
    <t>Брусок 30х40х 2,0</t>
  </si>
  <si>
    <t>Брусок 30х40х 3,0</t>
  </si>
  <si>
    <t>Брусок 40х40х 2,0</t>
  </si>
  <si>
    <t>Брусок 40х40х 3,0</t>
  </si>
  <si>
    <t>Брусок 40х50х 2,0</t>
  </si>
  <si>
    <t>Брусок 40х50х 3,0</t>
  </si>
  <si>
    <t>Брус коробочный (дверн.коробка) 30х70х 2,1</t>
  </si>
  <si>
    <t>Доска, хвоя (сухая, строганая)</t>
  </si>
  <si>
    <t>Доска  строганая</t>
  </si>
  <si>
    <t>Брус коробочный (дверн.коробка) 35х75х 2,1</t>
  </si>
  <si>
    <t>Вагонка "Штиль", лиственница</t>
  </si>
  <si>
    <t>Террасная гладкая доска, лиственница</t>
  </si>
  <si>
    <t>Планкен (отделочная доска), лиственница</t>
  </si>
  <si>
    <t>Доска пола, лиственница</t>
  </si>
  <si>
    <t>Элементы лестницы, сосна</t>
  </si>
  <si>
    <t>цена за  1 шт</t>
  </si>
  <si>
    <r>
      <t>цена  за 1 м</t>
    </r>
    <r>
      <rPr>
        <vertAlign val="superscript"/>
        <sz val="11"/>
        <color indexed="8"/>
        <rFont val="Arial"/>
        <family val="2"/>
      </rPr>
      <t>2</t>
    </r>
  </si>
  <si>
    <t>Ступень</t>
  </si>
  <si>
    <t>40х300х 1,0</t>
  </si>
  <si>
    <t>40х300х 1,2</t>
  </si>
  <si>
    <t>Подступенок</t>
  </si>
  <si>
    <t>18х200х 1,0</t>
  </si>
  <si>
    <t>18х200х 1,2</t>
  </si>
  <si>
    <t>18х200х 1,5</t>
  </si>
  <si>
    <t>Тетива</t>
  </si>
  <si>
    <t>50х300х 3,0</t>
  </si>
  <si>
    <t>50х300х 4,0</t>
  </si>
  <si>
    <t>Поручень</t>
  </si>
  <si>
    <t>Площадка (щит мебельный)</t>
  </si>
  <si>
    <t>Колонна точеная</t>
  </si>
  <si>
    <t>150х150х 2,5</t>
  </si>
  <si>
    <t>45х45х 0,9</t>
  </si>
  <si>
    <t>50х50х 0,9</t>
  </si>
  <si>
    <t>Брус клеёный</t>
  </si>
  <si>
    <t>100х100х 3,0</t>
  </si>
  <si>
    <t>80х80х 3,0</t>
  </si>
  <si>
    <t>Мебельные щиты, хвоя</t>
  </si>
  <si>
    <t>толщина, мм.</t>
  </si>
  <si>
    <t>Мебельный щит</t>
  </si>
  <si>
    <r>
      <t>цена за 1 м</t>
    </r>
    <r>
      <rPr>
        <vertAlign val="superscript"/>
        <sz val="11"/>
        <color indexed="8"/>
        <rFont val="Arial"/>
        <family val="2"/>
      </rPr>
      <t>2</t>
    </r>
  </si>
  <si>
    <t>Брусок 30х40х 4,0</t>
  </si>
  <si>
    <t>Брусок 40х40х 4,0</t>
  </si>
  <si>
    <t>Брусок 40х50х 4,0</t>
  </si>
  <si>
    <t>Вагонка "Штиль", ангарская сосна</t>
  </si>
  <si>
    <t>В</t>
  </si>
  <si>
    <t>35х121(115)х 6,0 кат.АВ</t>
  </si>
  <si>
    <t>Погонаж, двери липа</t>
  </si>
  <si>
    <t>Дверь глухая</t>
  </si>
  <si>
    <t>Дверь со стеклом</t>
  </si>
  <si>
    <t>Вагонка, лиственница</t>
  </si>
  <si>
    <r>
      <t>1 м</t>
    </r>
    <r>
      <rPr>
        <vertAlign val="superscript"/>
        <sz val="11"/>
        <color indexed="8"/>
        <rFont val="Arial"/>
        <family val="2"/>
      </rPr>
      <t>2</t>
    </r>
  </si>
  <si>
    <t>36х170(160)х 6,0 кат.АВ</t>
  </si>
  <si>
    <t>36х190(180)х 5,8 кат.АВ</t>
  </si>
  <si>
    <t>36х190(180)х 6,0 кат.АВ</t>
  </si>
  <si>
    <t>кол-во шт в уп</t>
  </si>
  <si>
    <r>
      <t>площадь, закр одной уп, м</t>
    </r>
    <r>
      <rPr>
        <vertAlign val="superscript"/>
        <sz val="11"/>
        <color indexed="8"/>
        <rFont val="Arial"/>
        <family val="2"/>
      </rPr>
      <t>2</t>
    </r>
  </si>
  <si>
    <r>
      <t>цена за м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, руб. </t>
    </r>
  </si>
  <si>
    <t>кол-во шт в 1 уп</t>
  </si>
  <si>
    <t>цена за 1 уп</t>
  </si>
  <si>
    <t>36х170(160)х 5,0 кат.АВ</t>
  </si>
  <si>
    <r>
      <t>цена 1 м</t>
    </r>
    <r>
      <rPr>
        <vertAlign val="superscript"/>
        <sz val="11"/>
        <color indexed="8"/>
        <rFont val="Arial"/>
        <family val="2"/>
      </rPr>
      <t>2</t>
    </r>
  </si>
  <si>
    <t>20х96(90)х 3,0 кат.АВ ЦСК</t>
  </si>
  <si>
    <t>41х121(113)х 6,0 кат.АВ ЦСК</t>
  </si>
  <si>
    <t>41х146(138)х 6,0 кат.АВ ЦСК</t>
  </si>
  <si>
    <t>20х96(90)х 3,0 кат.С ЦСК</t>
  </si>
  <si>
    <t>41х121(113)х 6,0 кат.С ЦСК</t>
  </si>
  <si>
    <t>41х146(138)х 6,0 кат.С ЦСК</t>
  </si>
  <si>
    <t>Наличник НГ 60х12</t>
  </si>
  <si>
    <t>Наличник НГ 70х12</t>
  </si>
  <si>
    <t>Наличник НФ 70х14</t>
  </si>
  <si>
    <t>Наличник НГ 75х14</t>
  </si>
  <si>
    <t>Наличник НФ 75х15</t>
  </si>
  <si>
    <t>Наличник НГ 80х15</t>
  </si>
  <si>
    <t>Наличник НФ 80х15</t>
  </si>
  <si>
    <t>Наличник НГ 90х15</t>
  </si>
  <si>
    <t>Наличник НСФ 70х13</t>
  </si>
  <si>
    <t>Наличник НФ 60х12</t>
  </si>
  <si>
    <t>Плинтус ПЕ 60х18</t>
  </si>
  <si>
    <t>Плинтус ППГ 30х12</t>
  </si>
  <si>
    <t>Плинтус ППФ 32х12</t>
  </si>
  <si>
    <t>Плинтус ПУ 43х16</t>
  </si>
  <si>
    <t>Плинтус ПФ 43х16</t>
  </si>
  <si>
    <t>Плинтус ПФ 45х15</t>
  </si>
  <si>
    <t>Плинтус ПФ 50х15</t>
  </si>
  <si>
    <t>Плинтус ПФ 60х16</t>
  </si>
  <si>
    <t>Раскладка РФ 18х9</t>
  </si>
  <si>
    <t>Раскладка Р 40х9 Сфера</t>
  </si>
  <si>
    <t>Раскладка РГ 30х9</t>
  </si>
  <si>
    <t>Раскладка РФ 30х9</t>
  </si>
  <si>
    <t>Раскладка Р 30х9 Сфера</t>
  </si>
  <si>
    <t>Раскладка РГ 40х9</t>
  </si>
  <si>
    <t>Раскладка РФ 40х9</t>
  </si>
  <si>
    <t>Уголок УГ 25х25</t>
  </si>
  <si>
    <t>Уголок УФ 25х25</t>
  </si>
  <si>
    <t>Уголок УГ 40х40</t>
  </si>
  <si>
    <t>Уголок УФ 40х40</t>
  </si>
  <si>
    <t>Штапик оконный 10х10</t>
  </si>
  <si>
    <t>Штапик декоративный 14х14</t>
  </si>
  <si>
    <t>20х95</t>
  </si>
  <si>
    <t>36х170(160)х 5,8 кат.АВ</t>
  </si>
  <si>
    <r>
      <t xml:space="preserve">35х141(135)х 2,5 кат.АВ  </t>
    </r>
    <r>
      <rPr>
        <b/>
        <sz val="9"/>
        <rFont val="Arial"/>
        <family val="2"/>
      </rPr>
      <t>СПЕЦПРЕДЛОЖЕНИЕ</t>
    </r>
  </si>
  <si>
    <t>Брусок 20х45х 2,1</t>
  </si>
  <si>
    <t>Брусок 20х45х 2,7</t>
  </si>
  <si>
    <t>цена за кат. Э, руб.</t>
  </si>
  <si>
    <r>
      <t>объем одной уп, м</t>
    </r>
    <r>
      <rPr>
        <vertAlign val="superscript"/>
        <sz val="11"/>
        <rFont val="Arial"/>
        <family val="2"/>
      </rPr>
      <t>3</t>
    </r>
  </si>
  <si>
    <t>14х86(80)х 2,7</t>
  </si>
  <si>
    <t>14х86(80)х 3,0</t>
  </si>
  <si>
    <t>14х86(80)х 4,0</t>
  </si>
  <si>
    <t>14х116(110)х 2,7</t>
  </si>
  <si>
    <t>14х116(110)х 3,0</t>
  </si>
  <si>
    <t>14х116(110)х 4,0</t>
  </si>
  <si>
    <t>14х144(138)х 2,7</t>
  </si>
  <si>
    <t>14х144(138)х 3,0</t>
  </si>
  <si>
    <t>14х144(138)х 4,0</t>
  </si>
  <si>
    <t>27х146(140)х 2,7</t>
  </si>
  <si>
    <t>27х146(140)х 3,0</t>
  </si>
  <si>
    <t>27х146(140)х 4,0</t>
  </si>
  <si>
    <t>25х140х 3,0</t>
  </si>
  <si>
    <t>27х110х 3,0</t>
  </si>
  <si>
    <t>27х110х 4,0</t>
  </si>
  <si>
    <t>27х140х 2,7</t>
  </si>
  <si>
    <t>27х140х 3,0</t>
  </si>
  <si>
    <t>27х140х 4,0</t>
  </si>
  <si>
    <t>45х140х 3,0</t>
  </si>
  <si>
    <t>20х90х 3,0</t>
  </si>
  <si>
    <t>20х90х 4,0</t>
  </si>
  <si>
    <t>20х140х 4,0</t>
  </si>
  <si>
    <t>длина, м</t>
  </si>
  <si>
    <t>кол-во штук в 1 уп</t>
  </si>
  <si>
    <t>Крепеж</t>
  </si>
  <si>
    <t>наименование товара</t>
  </si>
  <si>
    <t>цена, руб.</t>
  </si>
  <si>
    <t>единица измерения</t>
  </si>
  <si>
    <t>Кляймер №1(пп) (100 шт)/уп</t>
  </si>
  <si>
    <t>уп</t>
  </si>
  <si>
    <t xml:space="preserve">Кляймер №2(пп) (100 шт)/уп </t>
  </si>
  <si>
    <t>Кляймер №3(пп) (100 шт)/уп</t>
  </si>
  <si>
    <t xml:space="preserve">Кляймер №4(пп) (100 шт)/уп </t>
  </si>
  <si>
    <t xml:space="preserve">Кляймер №5(пп) (100 шт)/уп </t>
  </si>
  <si>
    <t xml:space="preserve">Кляймер №6(пп) (100 шт)/уп </t>
  </si>
  <si>
    <t>20х96(88)х 3,0 кат.С</t>
  </si>
  <si>
    <t>Телефоны                                         8-498-540-23-13 (факс)                              8-498-540-23-15                              8-916-352-07-77                              8-916-102-51-61</t>
  </si>
  <si>
    <t>35х141(135)х 6,0 кат.АВ</t>
  </si>
  <si>
    <t>41х96(88)х 3,0 кат.АВ ЦСК</t>
  </si>
  <si>
    <t>41х96(88)х 6,0 кат.АВ ЦСК</t>
  </si>
  <si>
    <t>48х70х 3,0 (4,0)</t>
  </si>
  <si>
    <t>АВ</t>
  </si>
  <si>
    <t>40х300х 0,8</t>
  </si>
  <si>
    <t>Накладка с вкладышем</t>
  </si>
  <si>
    <t>Балясина №1, №4 и №5</t>
  </si>
  <si>
    <t>Столб начальный №1, №4 и №5</t>
  </si>
  <si>
    <t>Поручень фигур. закругленный</t>
  </si>
  <si>
    <t>48х70 град. 30, 40, 90, 180</t>
  </si>
  <si>
    <t>1 уп</t>
  </si>
  <si>
    <t>30х94(86)х 4,0</t>
  </si>
  <si>
    <t>14х116(110)х 2,75</t>
  </si>
  <si>
    <t>Наличник липа НСФ 75х12</t>
  </si>
  <si>
    <t>Наличник липа НСФ 70х10</t>
  </si>
  <si>
    <t>Наличник "Волна" 70х12</t>
  </si>
  <si>
    <t>Наличник НСФ 65х12</t>
  </si>
  <si>
    <t>Плинтус ППГ 40х14</t>
  </si>
  <si>
    <t>2,0-2,2-2,5</t>
  </si>
  <si>
    <t>Имитация бруса, лиственница</t>
  </si>
  <si>
    <t>25х144(138)х 2,7</t>
  </si>
  <si>
    <t>25х144(138)х 3,0</t>
  </si>
  <si>
    <t>25х144(138)х 4,0</t>
  </si>
  <si>
    <t>32х140х 4,0</t>
  </si>
  <si>
    <t>Брусок 20х45х 2,5</t>
  </si>
  <si>
    <t>41х121(113)х 3,0 кат.АВ ЦСК</t>
  </si>
  <si>
    <t>41х146(138)х 3,0 кат.АВ ЦСК</t>
  </si>
  <si>
    <t>14х136(130)х 2,7</t>
  </si>
  <si>
    <t>14х136(130)х 3,0</t>
  </si>
  <si>
    <t>14х136(130)х 4,0</t>
  </si>
  <si>
    <t>35х96(90)х 6,0 кат.АВ</t>
  </si>
  <si>
    <t xml:space="preserve">28х142(135)х 6,0 кат.АВ  </t>
  </si>
  <si>
    <t xml:space="preserve">36х143(135)х 3,0 кат.АВ  </t>
  </si>
  <si>
    <t xml:space="preserve">36х143(135)х 5,8 кат.АВ  </t>
  </si>
  <si>
    <t xml:space="preserve">36х143(135)х 6,0 кат.АВ  </t>
  </si>
  <si>
    <t xml:space="preserve">36х142(133)х 6,0 кат.АВ  </t>
  </si>
  <si>
    <t>Плинтус ПШ 50х15</t>
  </si>
  <si>
    <t>Плинтус ППФ 32х12 кат.А</t>
  </si>
  <si>
    <t>Плинтус ППГ 40х14 кат.А</t>
  </si>
  <si>
    <t>Плинтус ПУ 43х16 кат.А</t>
  </si>
  <si>
    <t>Плинтус ПФ 50х15 кат.А</t>
  </si>
  <si>
    <t>Цена за 1 м3 14х86(80)</t>
  </si>
  <si>
    <t>Цена за 1 м3 14х116(110)</t>
  </si>
  <si>
    <t>Цена за 1 м3 14х144(138)</t>
  </si>
  <si>
    <t>Цена за 1 м3 27х146(140)</t>
  </si>
  <si>
    <t>Цена за 1 м3 30х94(86)</t>
  </si>
  <si>
    <t>Цена за 1 м3 25х144(138)</t>
  </si>
  <si>
    <t>Цена за 1 м3</t>
  </si>
  <si>
    <t>Цена за 1 м3 14х136(130)</t>
  </si>
  <si>
    <t>10,40-11,44-13,00</t>
  </si>
  <si>
    <t>24х143(135)х 3,0</t>
  </si>
  <si>
    <t>24х143(135)х 4,0</t>
  </si>
  <si>
    <t>ширина,мм.</t>
  </si>
  <si>
    <t>цена за шт, руб.</t>
  </si>
  <si>
    <t>цена за кв.м.,руб.</t>
  </si>
  <si>
    <t>от 1,0 до 1,5</t>
  </si>
  <si>
    <t>от 1,0 до 3,0</t>
  </si>
  <si>
    <t>от 300 до 800</t>
  </si>
  <si>
    <t>от 200 до 800</t>
  </si>
  <si>
    <t>Экстра</t>
  </si>
  <si>
    <t>25х80х 3,0 (4,0)</t>
  </si>
  <si>
    <t>80(90)(100)х80(90)(100)х 1,15</t>
  </si>
  <si>
    <t>Э</t>
  </si>
  <si>
    <t>40х1,0х1,0 (40х1,2х1,2)</t>
  </si>
  <si>
    <t>42х70х 3,0</t>
  </si>
  <si>
    <t>44х65х 3,0 (4,0)</t>
  </si>
  <si>
    <t>48х80х 3,0 (4,0)</t>
  </si>
  <si>
    <t>40х300х 0,9</t>
  </si>
  <si>
    <t>40х300х 1,4</t>
  </si>
  <si>
    <t>40х300х 1,5</t>
  </si>
  <si>
    <t>Подоконник</t>
  </si>
  <si>
    <t>40х300х 1,4 (1,6)</t>
  </si>
  <si>
    <r>
      <t xml:space="preserve">ЦСК – база стройматериалов
г. Москва, 32 км.МКАД 
с внешней стороны
csk-lesobaza@mail.ru
www.rosless.ru   
</t>
    </r>
    <r>
      <rPr>
        <sz val="12"/>
        <rFont val="Arial Black"/>
        <family val="2"/>
      </rPr>
      <t>ОПТОВЫЙ ПРАЙС-ЛИСТ                                                                                                                            Цены действительны для оптовиков, при закупке ежемесячно от 350 тыс. рублей</t>
    </r>
  </si>
  <si>
    <t>20х143(135)х 4,0 кат.АВ</t>
  </si>
  <si>
    <t>18х142(134)х 6,0 кат.АВ</t>
  </si>
  <si>
    <t>60х300х 3,0</t>
  </si>
  <si>
    <t>1272,00 (1831,68)</t>
  </si>
  <si>
    <t>534,24 (610,56)</t>
  </si>
  <si>
    <t>35х141(135)х 3,0 кат.АВ</t>
  </si>
  <si>
    <t>35х141(135)х 4,0 кат.АВ</t>
  </si>
  <si>
    <t>35х141(135)х 5,0 кат.АВ</t>
  </si>
  <si>
    <t>340,00 (455,00)</t>
  </si>
  <si>
    <t>290,00 (385,00)</t>
  </si>
  <si>
    <t>325,00 (430,00)</t>
  </si>
  <si>
    <t>370,00 (495,00)</t>
  </si>
  <si>
    <t>365,00 (420,00) (500,00)</t>
  </si>
  <si>
    <t>40х300х 1,0 (1,2)</t>
  </si>
  <si>
    <t>285 (340)</t>
  </si>
  <si>
    <t>Балясина №9 и №11</t>
  </si>
  <si>
    <t>Балясина №4 и №5</t>
  </si>
  <si>
    <t>Столб начальный №9 и №11</t>
  </si>
  <si>
    <t>80х80х 1,15</t>
  </si>
  <si>
    <t>12,5х95(88)</t>
  </si>
  <si>
    <t>15х145(137)</t>
  </si>
  <si>
    <t>от 2,0 до 3,0</t>
  </si>
  <si>
    <t>от 2,2 до 3,0</t>
  </si>
  <si>
    <t>26х93</t>
  </si>
  <si>
    <t>от 2,0 до 4,2</t>
  </si>
  <si>
    <t>Вагонка, абаши (софтлайн, Африка)</t>
  </si>
  <si>
    <t>Полок, абаши (Африка)</t>
  </si>
  <si>
    <t xml:space="preserve">прайс-лист
14 марта 2011 г. Москва  
</t>
  </si>
  <si>
    <t>Раскладка липа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</si>
</sst>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_-[$€-410]\ * #,##0.00_-;\-[$€-410]\ * #,##0.00_-;_-[$€-410]\ * &quot;-&quot;??_-;_-@_-"/>
    <numFmt numFmtId="168" formatCode="#,##0.00_ ;\-#,##0.00\ "/>
    <numFmt numFmtId="169" formatCode="[$-FC19]d\ mmmm\ yyyy\ &quot;г.&quot;"/>
    <numFmt numFmtId="170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2"/>
      <name val="Arial Black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4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center" wrapText="1" readingOrder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0" borderId="14" xfId="0" applyFont="1" applyFill="1" applyBorder="1" applyAlignment="1">
      <alignment horizontal="center" vertical="center" wrapText="1" shrinkToFit="1"/>
    </xf>
    <xf numFmtId="0" fontId="53" fillId="0" borderId="15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53" fillId="0" borderId="16" xfId="0" applyFont="1" applyBorder="1" applyAlignment="1">
      <alignment horizontal="center" shrinkToFit="1"/>
    </xf>
    <xf numFmtId="0" fontId="53" fillId="0" borderId="17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2" fontId="56" fillId="0" borderId="0" xfId="0" applyNumberFormat="1" applyFont="1" applyBorder="1" applyAlignment="1">
      <alignment horizontal="center" wrapText="1"/>
    </xf>
    <xf numFmtId="2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2" fontId="58" fillId="0" borderId="0" xfId="0" applyNumberFormat="1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2" fontId="58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2" fontId="53" fillId="34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4" fontId="56" fillId="0" borderId="0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left" vertical="center" wrapText="1"/>
    </xf>
    <xf numFmtId="164" fontId="53" fillId="33" borderId="0" xfId="0" applyNumberFormat="1" applyFont="1" applyFill="1" applyBorder="1" applyAlignment="1">
      <alignment horizontal="center" vertical="center" wrapText="1"/>
    </xf>
    <xf numFmtId="2" fontId="53" fillId="33" borderId="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shrinkToFit="1"/>
    </xf>
    <xf numFmtId="2" fontId="53" fillId="34" borderId="13" xfId="0" applyNumberFormat="1" applyFont="1" applyFill="1" applyBorder="1" applyAlignment="1">
      <alignment horizontal="center" vertical="center" shrinkToFit="1"/>
    </xf>
    <xf numFmtId="0" fontId="53" fillId="34" borderId="13" xfId="0" applyFont="1" applyFill="1" applyBorder="1" applyAlignment="1">
      <alignment horizontal="center" vertical="center" shrinkToFit="1"/>
    </xf>
    <xf numFmtId="2" fontId="53" fillId="34" borderId="17" xfId="0" applyNumberFormat="1" applyFont="1" applyFill="1" applyBorder="1" applyAlignment="1">
      <alignment horizontal="center" vertical="center" shrinkToFit="1"/>
    </xf>
    <xf numFmtId="0" fontId="53" fillId="34" borderId="17" xfId="0" applyFont="1" applyFill="1" applyBorder="1" applyAlignment="1">
      <alignment horizontal="center" vertical="center" shrinkToFit="1"/>
    </xf>
    <xf numFmtId="0" fontId="53" fillId="34" borderId="18" xfId="0" applyFont="1" applyFill="1" applyBorder="1" applyAlignment="1">
      <alignment horizontal="center" vertical="center" shrinkToFit="1"/>
    </xf>
    <xf numFmtId="2" fontId="53" fillId="34" borderId="1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13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166" fontId="53" fillId="0" borderId="13" xfId="0" applyNumberFormat="1" applyFont="1" applyBorder="1" applyAlignment="1">
      <alignment horizontal="center" shrinkToFit="1"/>
    </xf>
    <xf numFmtId="166" fontId="53" fillId="0" borderId="17" xfId="0" applyNumberFormat="1" applyFont="1" applyBorder="1" applyAlignment="1">
      <alignment horizontal="center" shrinkToFit="1"/>
    </xf>
    <xf numFmtId="0" fontId="53" fillId="0" borderId="20" xfId="0" applyFont="1" applyBorder="1" applyAlignment="1">
      <alignment horizontal="left" vertical="center"/>
    </xf>
    <xf numFmtId="0" fontId="53" fillId="33" borderId="20" xfId="0" applyFont="1" applyFill="1" applyBorder="1" applyAlignment="1">
      <alignment horizontal="center" vertical="center"/>
    </xf>
    <xf numFmtId="2" fontId="53" fillId="34" borderId="20" xfId="0" applyNumberFormat="1" applyFont="1" applyFill="1" applyBorder="1" applyAlignment="1">
      <alignment horizontal="center" vertical="center"/>
    </xf>
    <xf numFmtId="166" fontId="53" fillId="0" borderId="20" xfId="0" applyNumberFormat="1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7" fillId="0" borderId="22" xfId="0" applyFont="1" applyBorder="1" applyAlignment="1">
      <alignment horizontal="center" vertical="center" wrapText="1"/>
    </xf>
    <xf numFmtId="9" fontId="33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15" xfId="0" applyFont="1" applyBorder="1" applyAlignment="1" applyProtection="1">
      <alignment horizontal="center" shrinkToFit="1"/>
      <protection/>
    </xf>
    <xf numFmtId="0" fontId="53" fillId="0" borderId="13" xfId="0" applyFont="1" applyBorder="1" applyAlignment="1" applyProtection="1">
      <alignment horizontal="center" shrinkToFit="1"/>
      <protection/>
    </xf>
    <xf numFmtId="166" fontId="53" fillId="0" borderId="13" xfId="0" applyNumberFormat="1" applyFont="1" applyBorder="1" applyAlignment="1" applyProtection="1">
      <alignment horizontal="center" shrinkToFit="1"/>
      <protection/>
    </xf>
    <xf numFmtId="2" fontId="53" fillId="34" borderId="13" xfId="0" applyNumberFormat="1" applyFont="1" applyFill="1" applyBorder="1" applyAlignment="1" applyProtection="1">
      <alignment horizontal="center" vertical="center" shrinkToFit="1"/>
      <protection/>
    </xf>
    <xf numFmtId="0" fontId="53" fillId="34" borderId="13" xfId="0" applyFont="1" applyFill="1" applyBorder="1" applyAlignment="1" applyProtection="1">
      <alignment horizontal="center" vertical="center" shrinkToFit="1"/>
      <protection/>
    </xf>
    <xf numFmtId="170" fontId="53" fillId="33" borderId="13" xfId="0" applyNumberFormat="1" applyFont="1" applyFill="1" applyBorder="1" applyAlignment="1" applyProtection="1">
      <alignment horizontal="center" vertical="center" shrinkToFit="1"/>
      <protection/>
    </xf>
    <xf numFmtId="1" fontId="53" fillId="34" borderId="13" xfId="0" applyNumberFormat="1" applyFont="1" applyFill="1" applyBorder="1" applyAlignment="1" applyProtection="1">
      <alignment horizontal="center" vertical="center" shrinkToFit="1"/>
      <protection/>
    </xf>
    <xf numFmtId="0" fontId="53" fillId="0" borderId="14" xfId="0" applyFont="1" applyFill="1" applyBorder="1" applyAlignment="1" applyProtection="1">
      <alignment horizontal="center" vertical="center" wrapText="1" shrinkToFit="1"/>
      <protection/>
    </xf>
    <xf numFmtId="2" fontId="53" fillId="34" borderId="14" xfId="0" applyNumberFormat="1" applyFont="1" applyFill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 shrinkToFit="1"/>
      <protection/>
    </xf>
    <xf numFmtId="166" fontId="53" fillId="0" borderId="0" xfId="0" applyNumberFormat="1" applyFont="1" applyBorder="1" applyAlignment="1" applyProtection="1">
      <alignment horizontal="center" shrinkToFit="1"/>
      <protection/>
    </xf>
    <xf numFmtId="170" fontId="53" fillId="33" borderId="0" xfId="0" applyNumberFormat="1" applyFont="1" applyFill="1" applyBorder="1" applyAlignment="1" applyProtection="1">
      <alignment horizontal="center" vertical="center" shrinkToFit="1"/>
      <protection/>
    </xf>
    <xf numFmtId="1" fontId="53" fillId="34" borderId="0" xfId="0" applyNumberFormat="1" applyFont="1" applyFill="1" applyBorder="1" applyAlignment="1" applyProtection="1">
      <alignment horizontal="center" vertical="center" shrinkToFit="1"/>
      <protection/>
    </xf>
    <xf numFmtId="2" fontId="53" fillId="34" borderId="0" xfId="0" applyNumberFormat="1" applyFont="1" applyFill="1" applyBorder="1" applyAlignment="1" applyProtection="1">
      <alignment horizontal="center" vertical="center" shrinkToFit="1"/>
      <protection/>
    </xf>
    <xf numFmtId="0" fontId="53" fillId="34" borderId="0" xfId="0" applyFont="1" applyFill="1" applyBorder="1" applyAlignment="1" applyProtection="1">
      <alignment horizontal="center" vertical="center" shrinkToFit="1"/>
      <protection/>
    </xf>
    <xf numFmtId="2" fontId="53" fillId="34" borderId="13" xfId="0" applyNumberFormat="1" applyFont="1" applyFill="1" applyBorder="1" applyAlignment="1">
      <alignment horizontal="center" shrinkToFit="1"/>
    </xf>
    <xf numFmtId="0" fontId="53" fillId="33" borderId="17" xfId="0" applyFont="1" applyFill="1" applyBorder="1" applyAlignment="1">
      <alignment horizontal="center" vertical="center" shrinkToFit="1"/>
    </xf>
    <xf numFmtId="2" fontId="53" fillId="34" borderId="17" xfId="0" applyNumberFormat="1" applyFont="1" applyFill="1" applyBorder="1" applyAlignment="1">
      <alignment horizontal="center" shrinkToFi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23" xfId="0" applyFont="1" applyBorder="1" applyAlignment="1" applyProtection="1">
      <alignment horizontal="center" shrinkToFit="1"/>
      <protection/>
    </xf>
    <xf numFmtId="0" fontId="53" fillId="0" borderId="19" xfId="0" applyFont="1" applyBorder="1" applyAlignment="1" applyProtection="1">
      <alignment horizontal="center" shrinkToFit="1"/>
      <protection/>
    </xf>
    <xf numFmtId="166" fontId="53" fillId="0" borderId="19" xfId="0" applyNumberFormat="1" applyFont="1" applyBorder="1" applyAlignment="1" applyProtection="1">
      <alignment horizontal="center" shrinkToFit="1"/>
      <protection/>
    </xf>
    <xf numFmtId="170" fontId="53" fillId="33" borderId="19" xfId="0" applyNumberFormat="1" applyFont="1" applyFill="1" applyBorder="1" applyAlignment="1" applyProtection="1">
      <alignment horizontal="center" vertical="center" shrinkToFit="1"/>
      <protection/>
    </xf>
    <xf numFmtId="2" fontId="53" fillId="34" borderId="19" xfId="0" applyNumberFormat="1" applyFont="1" applyFill="1" applyBorder="1" applyAlignment="1" applyProtection="1">
      <alignment horizontal="center" vertical="center" shrinkToFit="1"/>
      <protection/>
    </xf>
    <xf numFmtId="2" fontId="53" fillId="34" borderId="24" xfId="0" applyNumberFormat="1" applyFont="1" applyFill="1" applyBorder="1" applyAlignment="1" applyProtection="1">
      <alignment horizontal="center" vertical="center" shrinkToFit="1"/>
      <protection/>
    </xf>
    <xf numFmtId="0" fontId="53" fillId="0" borderId="20" xfId="0" applyFont="1" applyBorder="1" applyAlignment="1" applyProtection="1">
      <alignment horizontal="center" shrinkToFit="1"/>
      <protection/>
    </xf>
    <xf numFmtId="166" fontId="53" fillId="0" borderId="20" xfId="0" applyNumberFormat="1" applyFont="1" applyBorder="1" applyAlignment="1" applyProtection="1">
      <alignment horizontal="center" shrinkToFit="1"/>
      <protection/>
    </xf>
    <xf numFmtId="170" fontId="53" fillId="33" borderId="20" xfId="0" applyNumberFormat="1" applyFont="1" applyFill="1" applyBorder="1" applyAlignment="1" applyProtection="1">
      <alignment horizontal="center" vertical="center" shrinkToFit="1"/>
      <protection/>
    </xf>
    <xf numFmtId="2" fontId="53" fillId="34" borderId="20" xfId="0" applyNumberFormat="1" applyFont="1" applyFill="1" applyBorder="1" applyAlignment="1" applyProtection="1">
      <alignment horizontal="center" vertical="center" shrinkToFi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" fontId="53" fillId="34" borderId="19" xfId="0" applyNumberFormat="1" applyFont="1" applyFill="1" applyBorder="1" applyAlignment="1" applyProtection="1">
      <alignment horizontal="center" vertical="center" shrinkToFit="1"/>
      <protection/>
    </xf>
    <xf numFmtId="0" fontId="53" fillId="34" borderId="19" xfId="0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2" fontId="53" fillId="34" borderId="13" xfId="0" applyNumberFormat="1" applyFont="1" applyFill="1" applyBorder="1" applyAlignment="1" applyProtection="1">
      <alignment horizontal="center" vertical="center" shrinkToFit="1"/>
      <protection/>
    </xf>
    <xf numFmtId="2" fontId="53" fillId="34" borderId="14" xfId="0" applyNumberFormat="1" applyFont="1" applyFill="1" applyBorder="1" applyAlignment="1" applyProtection="1">
      <alignment horizontal="center" vertical="center" shrinkToFit="1"/>
      <protection/>
    </xf>
    <xf numFmtId="166" fontId="53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 wrapText="1"/>
    </xf>
    <xf numFmtId="0" fontId="59" fillId="0" borderId="27" xfId="0" applyFont="1" applyBorder="1" applyAlignment="1">
      <alignment horizontal="left" vertical="center"/>
    </xf>
    <xf numFmtId="0" fontId="59" fillId="0" borderId="28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 vertical="center" wrapText="1"/>
    </xf>
    <xf numFmtId="2" fontId="53" fillId="0" borderId="22" xfId="0" applyNumberFormat="1" applyFont="1" applyFill="1" applyBorder="1" applyAlignment="1">
      <alignment horizontal="center" vertical="center" wrapText="1"/>
    </xf>
    <xf numFmtId="2" fontId="53" fillId="0" borderId="36" xfId="0" applyNumberFormat="1" applyFont="1" applyFill="1" applyBorder="1" applyAlignment="1">
      <alignment horizontal="center" vertical="center" wrapText="1"/>
    </xf>
    <xf numFmtId="2" fontId="53" fillId="0" borderId="35" xfId="0" applyNumberFormat="1" applyFont="1" applyFill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center" vertical="center" wrapText="1"/>
    </xf>
    <xf numFmtId="2" fontId="53" fillId="0" borderId="38" xfId="0" applyNumberFormat="1" applyFont="1" applyBorder="1" applyAlignment="1">
      <alignment horizontal="center" vertical="center" wrapText="1"/>
    </xf>
    <xf numFmtId="2" fontId="53" fillId="0" borderId="39" xfId="0" applyNumberFormat="1" applyFont="1" applyBorder="1" applyAlignment="1">
      <alignment horizontal="center" vertical="center" wrapText="1"/>
    </xf>
    <xf numFmtId="2" fontId="53" fillId="0" borderId="40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2" fontId="53" fillId="0" borderId="41" xfId="0" applyNumberFormat="1" applyFont="1" applyBorder="1" applyAlignment="1">
      <alignment horizontal="center" vertical="center" wrapText="1"/>
    </xf>
    <xf numFmtId="2" fontId="53" fillId="0" borderId="42" xfId="0" applyNumberFormat="1" applyFont="1" applyBorder="1" applyAlignment="1">
      <alignment horizontal="center" vertical="center" wrapText="1"/>
    </xf>
    <xf numFmtId="2" fontId="53" fillId="0" borderId="43" xfId="0" applyNumberFormat="1" applyFont="1" applyBorder="1" applyAlignment="1">
      <alignment horizontal="center" vertical="center" wrapText="1"/>
    </xf>
    <xf numFmtId="2" fontId="53" fillId="0" borderId="44" xfId="0" applyNumberFormat="1" applyFont="1" applyBorder="1" applyAlignment="1">
      <alignment horizontal="center" vertical="center" wrapText="1"/>
    </xf>
    <xf numFmtId="2" fontId="53" fillId="0" borderId="22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center" vertical="center" wrapText="1"/>
    </xf>
    <xf numFmtId="2" fontId="53" fillId="0" borderId="45" xfId="0" applyNumberFormat="1" applyFont="1" applyBorder="1" applyAlignment="1">
      <alignment horizontal="center" vertical="center" wrapText="1"/>
    </xf>
    <xf numFmtId="0" fontId="53" fillId="0" borderId="30" xfId="0" applyFont="1" applyBorder="1" applyAlignment="1">
      <alignment horizontal="left" vertical="center" wrapText="1"/>
    </xf>
    <xf numFmtId="0" fontId="53" fillId="0" borderId="31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left" vertical="center" wrapText="1"/>
    </xf>
    <xf numFmtId="0" fontId="53" fillId="0" borderId="47" xfId="0" applyFont="1" applyBorder="1" applyAlignment="1">
      <alignment horizontal="left" vertical="center" wrapText="1"/>
    </xf>
    <xf numFmtId="0" fontId="53" fillId="0" borderId="48" xfId="0" applyFont="1" applyBorder="1" applyAlignment="1">
      <alignment horizontal="left" vertical="center" wrapText="1"/>
    </xf>
    <xf numFmtId="0" fontId="53" fillId="0" borderId="4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50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1" fontId="53" fillId="34" borderId="26" xfId="0" applyNumberFormat="1" applyFont="1" applyFill="1" applyBorder="1" applyAlignment="1" applyProtection="1">
      <alignment horizontal="center" vertical="center" shrinkToFit="1"/>
      <protection/>
    </xf>
    <xf numFmtId="1" fontId="53" fillId="34" borderId="17" xfId="0" applyNumberFormat="1" applyFont="1" applyFill="1" applyBorder="1" applyAlignment="1" applyProtection="1">
      <alignment horizontal="center" vertical="center" shrinkToFit="1"/>
      <protection/>
    </xf>
    <xf numFmtId="0" fontId="60" fillId="0" borderId="27" xfId="0" applyFont="1" applyBorder="1" applyAlignment="1" applyProtection="1">
      <alignment horizontal="left" vertical="center"/>
      <protection/>
    </xf>
    <xf numFmtId="0" fontId="60" fillId="0" borderId="28" xfId="0" applyFont="1" applyBorder="1" applyAlignment="1" applyProtection="1">
      <alignment horizontal="left" vertical="center"/>
      <protection/>
    </xf>
    <xf numFmtId="0" fontId="60" fillId="0" borderId="29" xfId="0" applyFont="1" applyBorder="1" applyAlignment="1" applyProtection="1">
      <alignment horizontal="left" vertical="center"/>
      <protection/>
    </xf>
    <xf numFmtId="0" fontId="53" fillId="0" borderId="15" xfId="0" applyFont="1" applyFill="1" applyBorder="1" applyAlignment="1" applyProtection="1">
      <alignment horizontal="center" vertical="center" wrapText="1" shrinkToFit="1"/>
      <protection/>
    </xf>
    <xf numFmtId="0" fontId="53" fillId="0" borderId="13" xfId="0" applyFont="1" applyFill="1" applyBorder="1" applyAlignment="1" applyProtection="1">
      <alignment horizontal="center" vertical="center" wrapText="1" shrinkToFit="1"/>
      <protection/>
    </xf>
    <xf numFmtId="0" fontId="53" fillId="0" borderId="15" xfId="0" applyFont="1" applyBorder="1" applyAlignment="1" applyProtection="1">
      <alignment horizontal="left" vertical="center" shrinkToFit="1"/>
      <protection/>
    </xf>
    <xf numFmtId="0" fontId="53" fillId="0" borderId="13" xfId="0" applyFont="1" applyBorder="1" applyAlignment="1" applyProtection="1">
      <alignment horizontal="left" vertical="center" shrinkToFit="1"/>
      <protection/>
    </xf>
    <xf numFmtId="0" fontId="53" fillId="0" borderId="51" xfId="0" applyFont="1" applyBorder="1" applyAlignment="1" applyProtection="1">
      <alignment horizontal="left" vertical="center" shrinkToFit="1"/>
      <protection/>
    </xf>
    <xf numFmtId="0" fontId="53" fillId="0" borderId="26" xfId="0" applyFont="1" applyBorder="1" applyAlignment="1" applyProtection="1">
      <alignment horizontal="left" vertical="center" shrinkToFit="1"/>
      <protection/>
    </xf>
    <xf numFmtId="1" fontId="53" fillId="34" borderId="52" xfId="0" applyNumberFormat="1" applyFont="1" applyFill="1" applyBorder="1" applyAlignment="1" applyProtection="1">
      <alignment horizontal="center" vertical="center" shrinkToFit="1"/>
      <protection/>
    </xf>
    <xf numFmtId="2" fontId="53" fillId="34" borderId="17" xfId="0" applyNumberFormat="1" applyFont="1" applyFill="1" applyBorder="1" applyAlignment="1" applyProtection="1">
      <alignment horizontal="center" vertical="center" shrinkToFit="1"/>
      <protection/>
    </xf>
    <xf numFmtId="0" fontId="53" fillId="0" borderId="16" xfId="0" applyFont="1" applyBorder="1" applyAlignment="1" applyProtection="1">
      <alignment horizontal="left" vertical="center" shrinkToFit="1"/>
      <protection/>
    </xf>
    <xf numFmtId="0" fontId="53" fillId="0" borderId="17" xfId="0" applyFont="1" applyBorder="1" applyAlignment="1" applyProtection="1">
      <alignment horizontal="left" vertical="center" shrinkToFit="1"/>
      <protection/>
    </xf>
    <xf numFmtId="2" fontId="53" fillId="34" borderId="21" xfId="0" applyNumberFormat="1" applyFont="1" applyFill="1" applyBorder="1" applyAlignment="1" applyProtection="1">
      <alignment horizontal="center" vertical="center" shrinkToFit="1"/>
      <protection/>
    </xf>
    <xf numFmtId="2" fontId="53" fillId="34" borderId="53" xfId="0" applyNumberFormat="1" applyFont="1" applyFill="1" applyBorder="1" applyAlignment="1" applyProtection="1">
      <alignment horizontal="center" vertical="center" shrinkToFit="1"/>
      <protection/>
    </xf>
    <xf numFmtId="2" fontId="53" fillId="34" borderId="33" xfId="0" applyNumberFormat="1" applyFont="1" applyFill="1" applyBorder="1" applyAlignment="1" applyProtection="1">
      <alignment horizontal="center" vertical="center" shrinkToFit="1"/>
      <protection/>
    </xf>
    <xf numFmtId="0" fontId="53" fillId="0" borderId="13" xfId="0" applyFont="1" applyFill="1" applyBorder="1" applyAlignment="1" applyProtection="1">
      <alignment horizontal="center" vertical="center" shrinkToFit="1"/>
      <protection/>
    </xf>
    <xf numFmtId="0" fontId="53" fillId="0" borderId="14" xfId="0" applyFont="1" applyFill="1" applyBorder="1" applyAlignment="1" applyProtection="1">
      <alignment horizontal="center" vertical="center" shrinkToFit="1"/>
      <protection/>
    </xf>
    <xf numFmtId="2" fontId="53" fillId="34" borderId="22" xfId="0" applyNumberFormat="1" applyFont="1" applyFill="1" applyBorder="1" applyAlignment="1" applyProtection="1">
      <alignment horizontal="center" vertical="center" shrinkToFit="1"/>
      <protection/>
    </xf>
    <xf numFmtId="2" fontId="53" fillId="34" borderId="35" xfId="0" applyNumberFormat="1" applyFont="1" applyFill="1" applyBorder="1" applyAlignment="1" applyProtection="1">
      <alignment horizontal="center" vertical="center" shrinkToFit="1"/>
      <protection/>
    </xf>
    <xf numFmtId="1" fontId="53" fillId="34" borderId="13" xfId="0" applyNumberFormat="1" applyFont="1" applyFill="1" applyBorder="1" applyAlignment="1" applyProtection="1">
      <alignment horizontal="center" vertical="center" shrinkToFit="1"/>
      <protection/>
    </xf>
    <xf numFmtId="1" fontId="53" fillId="34" borderId="14" xfId="0" applyNumberFormat="1" applyFont="1" applyFill="1" applyBorder="1" applyAlignment="1" applyProtection="1">
      <alignment horizontal="center" vertical="center" shrinkToFit="1"/>
      <protection/>
    </xf>
    <xf numFmtId="2" fontId="53" fillId="34" borderId="13" xfId="0" applyNumberFormat="1" applyFont="1" applyFill="1" applyBorder="1" applyAlignment="1" applyProtection="1">
      <alignment horizontal="center" vertical="center" shrinkToFit="1"/>
      <protection/>
    </xf>
    <xf numFmtId="1" fontId="53" fillId="34" borderId="18" xfId="0" applyNumberFormat="1" applyFont="1" applyFill="1" applyBorder="1" applyAlignment="1" applyProtection="1">
      <alignment horizontal="center" vertical="center" shrinkToFit="1"/>
      <protection/>
    </xf>
    <xf numFmtId="0" fontId="53" fillId="0" borderId="54" xfId="0" applyFont="1" applyBorder="1" applyAlignment="1" applyProtection="1">
      <alignment horizontal="left" vertical="center" shrinkToFit="1"/>
      <protection/>
    </xf>
    <xf numFmtId="0" fontId="53" fillId="0" borderId="55" xfId="0" applyFont="1" applyBorder="1" applyAlignment="1" applyProtection="1">
      <alignment horizontal="left" vertical="center" shrinkToFit="1"/>
      <protection/>
    </xf>
    <xf numFmtId="0" fontId="53" fillId="0" borderId="56" xfId="0" applyFont="1" applyBorder="1" applyAlignment="1" applyProtection="1">
      <alignment horizontal="left" vertical="center" shrinkToFit="1"/>
      <protection/>
    </xf>
    <xf numFmtId="2" fontId="53" fillId="34" borderId="18" xfId="0" applyNumberFormat="1" applyFont="1" applyFill="1" applyBorder="1" applyAlignment="1" applyProtection="1">
      <alignment horizontal="center" vertical="center" shrinkToFit="1"/>
      <protection/>
    </xf>
    <xf numFmtId="2" fontId="53" fillId="34" borderId="45" xfId="0" applyNumberFormat="1" applyFont="1" applyFill="1" applyBorder="1" applyAlignment="1" applyProtection="1">
      <alignment horizontal="center" vertical="center" shrinkToFit="1"/>
      <protection/>
    </xf>
    <xf numFmtId="2" fontId="53" fillId="34" borderId="14" xfId="0" applyNumberFormat="1" applyFont="1" applyFill="1" applyBorder="1" applyAlignment="1" applyProtection="1">
      <alignment horizontal="center" vertical="center" shrinkToFit="1"/>
      <protection/>
    </xf>
    <xf numFmtId="0" fontId="53" fillId="0" borderId="32" xfId="0" applyFont="1" applyBorder="1" applyAlignment="1" applyProtection="1">
      <alignment horizontal="left" vertical="center" shrinkToFit="1"/>
      <protection/>
    </xf>
    <xf numFmtId="0" fontId="53" fillId="0" borderId="57" xfId="0" applyFont="1" applyBorder="1" applyAlignment="1" applyProtection="1">
      <alignment horizontal="left" vertical="center" shrinkToFit="1"/>
      <protection/>
    </xf>
    <xf numFmtId="0" fontId="53" fillId="0" borderId="33" xfId="0" applyFont="1" applyBorder="1" applyAlignment="1" applyProtection="1">
      <alignment horizontal="left" vertical="center" shrinkToFit="1"/>
      <protection/>
    </xf>
    <xf numFmtId="0" fontId="53" fillId="0" borderId="48" xfId="0" applyFont="1" applyBorder="1" applyAlignment="1" applyProtection="1">
      <alignment horizontal="left" vertical="center" shrinkToFit="1"/>
      <protection/>
    </xf>
    <xf numFmtId="0" fontId="53" fillId="0" borderId="43" xfId="0" applyFont="1" applyBorder="1" applyAlignment="1" applyProtection="1">
      <alignment horizontal="left" vertical="center" shrinkToFit="1"/>
      <protection/>
    </xf>
    <xf numFmtId="0" fontId="53" fillId="0" borderId="49" xfId="0" applyFont="1" applyBorder="1" applyAlignment="1" applyProtection="1">
      <alignment horizontal="left" vertical="center" shrinkToFit="1"/>
      <protection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2" fontId="7" fillId="0" borderId="45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Border="1" applyAlignment="1">
      <alignment horizontal="center" vertical="center" wrapText="1"/>
    </xf>
    <xf numFmtId="2" fontId="7" fillId="0" borderId="59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2" fontId="7" fillId="34" borderId="14" xfId="0" applyNumberFormat="1" applyFont="1" applyFill="1" applyBorder="1" applyAlignment="1">
      <alignment horizontal="center" vertical="center" wrapText="1"/>
    </xf>
    <xf numFmtId="166" fontId="53" fillId="0" borderId="22" xfId="0" applyNumberFormat="1" applyFont="1" applyBorder="1" applyAlignment="1">
      <alignment horizontal="center" vertical="center" wrapText="1"/>
    </xf>
    <xf numFmtId="166" fontId="53" fillId="0" borderId="36" xfId="0" applyNumberFormat="1" applyFont="1" applyBorder="1" applyAlignment="1">
      <alignment horizontal="center" vertical="center" wrapText="1"/>
    </xf>
    <xf numFmtId="166" fontId="53" fillId="0" borderId="35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5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62" xfId="0" applyNumberFormat="1" applyFont="1" applyBorder="1" applyAlignment="1">
      <alignment horizontal="center" vertical="center" wrapText="1"/>
    </xf>
    <xf numFmtId="164" fontId="7" fillId="0" borderId="56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63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164" fontId="7" fillId="0" borderId="64" xfId="0" applyNumberFormat="1" applyFont="1" applyBorder="1" applyAlignment="1">
      <alignment horizontal="center" vertical="center" wrapText="1"/>
    </xf>
    <xf numFmtId="164" fontId="7" fillId="0" borderId="65" xfId="0" applyNumberFormat="1" applyFont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164" fontId="7" fillId="0" borderId="28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57" xfId="0" applyNumberFormat="1" applyFont="1" applyFill="1" applyBorder="1" applyAlignment="1">
      <alignment horizontal="center" vertical="center" wrapText="1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7" fillId="0" borderId="53" xfId="0" applyNumberFormat="1" applyFont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164" fontId="7" fillId="0" borderId="64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164" fontId="7" fillId="0" borderId="62" xfId="0" applyNumberFormat="1" applyFont="1" applyFill="1" applyBorder="1" applyAlignment="1">
      <alignment horizontal="center" vertical="center" wrapText="1"/>
    </xf>
    <xf numFmtId="164" fontId="7" fillId="0" borderId="56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53" fillId="34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0" fillId="0" borderId="68" xfId="0" applyFont="1" applyBorder="1" applyAlignment="1">
      <alignment horizontal="left" vertical="center"/>
    </xf>
    <xf numFmtId="0" fontId="60" fillId="0" borderId="69" xfId="0" applyFont="1" applyBorder="1" applyAlignment="1">
      <alignment horizontal="left" vertical="center"/>
    </xf>
    <xf numFmtId="0" fontId="60" fillId="0" borderId="70" xfId="0" applyFont="1" applyBorder="1" applyAlignment="1">
      <alignment horizontal="left" vertical="center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36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64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60" fillId="0" borderId="68" xfId="0" applyFont="1" applyBorder="1" applyAlignment="1" applyProtection="1">
      <alignment horizontal="left" vertical="center"/>
      <protection/>
    </xf>
    <xf numFmtId="0" fontId="60" fillId="0" borderId="69" xfId="0" applyFont="1" applyBorder="1" applyAlignment="1" applyProtection="1">
      <alignment horizontal="left" vertical="center"/>
      <protection/>
    </xf>
    <xf numFmtId="0" fontId="60" fillId="0" borderId="70" xfId="0" applyFont="1" applyBorder="1" applyAlignment="1" applyProtection="1">
      <alignment horizontal="left" vertical="center"/>
      <protection/>
    </xf>
    <xf numFmtId="0" fontId="53" fillId="0" borderId="16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0" fontId="53" fillId="0" borderId="71" xfId="0" applyFont="1" applyBorder="1" applyAlignment="1">
      <alignment horizontal="center"/>
    </xf>
    <xf numFmtId="164" fontId="53" fillId="33" borderId="17" xfId="0" applyNumberFormat="1" applyFont="1" applyFill="1" applyBorder="1" applyAlignment="1">
      <alignment horizontal="center" vertical="center" wrapText="1"/>
    </xf>
    <xf numFmtId="164" fontId="53" fillId="33" borderId="13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2" fontId="53" fillId="33" borderId="17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wrapText="1" readingOrder="1"/>
    </xf>
    <xf numFmtId="0" fontId="2" fillId="0" borderId="58" xfId="0" applyFont="1" applyBorder="1" applyAlignment="1">
      <alignment horizontal="center" wrapText="1" readingOrder="1"/>
    </xf>
    <xf numFmtId="0" fontId="53" fillId="0" borderId="15" xfId="0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6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3" fillId="0" borderId="14" xfId="0" applyNumberFormat="1" applyFont="1" applyBorder="1" applyAlignment="1">
      <alignment horizontal="center" vertical="center" wrapText="1"/>
    </xf>
    <xf numFmtId="2" fontId="53" fillId="0" borderId="21" xfId="0" applyNumberFormat="1" applyFont="1" applyBorder="1" applyAlignment="1">
      <alignment horizontal="center" vertical="center" wrapText="1"/>
    </xf>
    <xf numFmtId="2" fontId="53" fillId="0" borderId="57" xfId="0" applyNumberFormat="1" applyFont="1" applyBorder="1" applyAlignment="1">
      <alignment horizontal="center" vertical="center" wrapText="1"/>
    </xf>
    <xf numFmtId="2" fontId="53" fillId="0" borderId="33" xfId="0" applyNumberFormat="1" applyFont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60" fillId="0" borderId="27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2" fontId="53" fillId="0" borderId="13" xfId="0" applyNumberFormat="1" applyFont="1" applyBorder="1" applyAlignment="1">
      <alignment horizontal="center" wrapText="1"/>
    </xf>
    <xf numFmtId="2" fontId="53" fillId="0" borderId="14" xfId="0" applyNumberFormat="1" applyFont="1" applyBorder="1" applyAlignment="1">
      <alignment horizontal="center" wrapText="1"/>
    </xf>
    <xf numFmtId="166" fontId="53" fillId="0" borderId="13" xfId="0" applyNumberFormat="1" applyFont="1" applyBorder="1" applyAlignment="1">
      <alignment horizontal="center" vertical="center" wrapText="1"/>
    </xf>
    <xf numFmtId="2" fontId="53" fillId="34" borderId="14" xfId="0" applyNumberFormat="1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36" xfId="0" applyNumberFormat="1" applyFont="1" applyBorder="1" applyAlignment="1">
      <alignment horizontal="center" vertical="center" wrapText="1"/>
    </xf>
    <xf numFmtId="166" fontId="7" fillId="0" borderId="35" xfId="0" applyNumberFormat="1" applyFont="1" applyBorder="1" applyAlignment="1">
      <alignment horizontal="center" vertical="center" wrapText="1"/>
    </xf>
    <xf numFmtId="2" fontId="53" fillId="34" borderId="17" xfId="0" applyNumberFormat="1" applyFont="1" applyFill="1" applyBorder="1" applyAlignment="1">
      <alignment horizontal="center" vertical="center" wrapText="1"/>
    </xf>
    <xf numFmtId="166" fontId="53" fillId="0" borderId="17" xfId="0" applyNumberFormat="1" applyFont="1" applyBorder="1" applyAlignment="1">
      <alignment horizontal="center" vertical="center" wrapText="1"/>
    </xf>
    <xf numFmtId="2" fontId="53" fillId="34" borderId="18" xfId="0" applyNumberFormat="1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left" vertical="center"/>
    </xf>
    <xf numFmtId="0" fontId="60" fillId="0" borderId="28" xfId="0" applyFont="1" applyFill="1" applyBorder="1" applyAlignment="1">
      <alignment horizontal="left" vertical="center"/>
    </xf>
    <xf numFmtId="0" fontId="60" fillId="0" borderId="29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center" vertical="center" wrapText="1"/>
    </xf>
    <xf numFmtId="166" fontId="7" fillId="34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2" fontId="53" fillId="0" borderId="45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2" fontId="7" fillId="0" borderId="22" xfId="0" applyNumberFormat="1" applyFont="1" applyFill="1" applyBorder="1" applyAlignment="1">
      <alignment horizontal="center" vertical="top" wrapText="1"/>
    </xf>
    <xf numFmtId="2" fontId="7" fillId="0" borderId="36" xfId="0" applyNumberFormat="1" applyFont="1" applyFill="1" applyBorder="1" applyAlignment="1">
      <alignment horizontal="center" vertical="top" wrapText="1"/>
    </xf>
    <xf numFmtId="2" fontId="7" fillId="0" borderId="35" xfId="0" applyNumberFormat="1" applyFont="1" applyFill="1" applyBorder="1" applyAlignment="1">
      <alignment horizontal="center" vertical="top" wrapText="1"/>
    </xf>
    <xf numFmtId="2" fontId="7" fillId="0" borderId="45" xfId="0" applyNumberFormat="1" applyFont="1" applyFill="1" applyBorder="1" applyAlignment="1">
      <alignment horizontal="center" vertical="top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 vertical="center" wrapText="1"/>
    </xf>
    <xf numFmtId="164" fontId="53" fillId="0" borderId="22" xfId="0" applyNumberFormat="1" applyFont="1" applyFill="1" applyBorder="1" applyAlignment="1">
      <alignment horizontal="center" vertical="center" wrapText="1"/>
    </xf>
    <xf numFmtId="164" fontId="53" fillId="0" borderId="35" xfId="0" applyNumberFormat="1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top" wrapText="1"/>
    </xf>
    <xf numFmtId="0" fontId="53" fillId="34" borderId="35" xfId="0" applyFont="1" applyFill="1" applyBorder="1" applyAlignment="1">
      <alignment horizontal="center" vertical="top" wrapText="1"/>
    </xf>
    <xf numFmtId="0" fontId="53" fillId="0" borderId="51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 horizontal="left" vertical="center" wrapText="1"/>
    </xf>
    <xf numFmtId="0" fontId="53" fillId="0" borderId="62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 wrapText="1"/>
    </xf>
    <xf numFmtId="0" fontId="53" fillId="0" borderId="62" xfId="0" applyFont="1" applyFill="1" applyBorder="1" applyAlignment="1">
      <alignment horizontal="center" vertical="center" wrapText="1" shrinkToFit="1"/>
    </xf>
    <xf numFmtId="0" fontId="53" fillId="0" borderId="55" xfId="0" applyFont="1" applyFill="1" applyBorder="1" applyAlignment="1">
      <alignment horizontal="center" vertical="center" wrapText="1" shrinkToFit="1"/>
    </xf>
    <xf numFmtId="0" fontId="53" fillId="0" borderId="56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center" vertical="center" wrapText="1" shrinkToFit="1"/>
    </xf>
    <xf numFmtId="0" fontId="53" fillId="0" borderId="36" xfId="0" applyFont="1" applyFill="1" applyBorder="1" applyAlignment="1">
      <alignment horizontal="center" vertical="center" wrapText="1" shrinkToFit="1"/>
    </xf>
    <xf numFmtId="0" fontId="53" fillId="0" borderId="35" xfId="0" applyFont="1" applyFill="1" applyBorder="1" applyAlignment="1">
      <alignment horizontal="center" vertical="center" wrapText="1" shrinkToFit="1"/>
    </xf>
    <xf numFmtId="166" fontId="7" fillId="34" borderId="1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53" fillId="0" borderId="2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2" fontId="53" fillId="0" borderId="35" xfId="0" applyNumberFormat="1" applyFont="1" applyBorder="1" applyAlignment="1">
      <alignment horizontal="center" vertical="center" wrapText="1"/>
    </xf>
    <xf numFmtId="0" fontId="53" fillId="0" borderId="23" xfId="0" applyFont="1" applyFill="1" applyBorder="1" applyAlignment="1" applyProtection="1">
      <alignment horizontal="center" vertical="center" wrapText="1" shrinkToFit="1"/>
      <protection/>
    </xf>
    <xf numFmtId="0" fontId="53" fillId="0" borderId="61" xfId="0" applyFont="1" applyFill="1" applyBorder="1" applyAlignment="1" applyProtection="1">
      <alignment horizontal="center" vertical="center" wrapText="1" shrinkToFit="1"/>
      <protection/>
    </xf>
    <xf numFmtId="0" fontId="53" fillId="0" borderId="19" xfId="0" applyFont="1" applyFill="1" applyBorder="1" applyAlignment="1" applyProtection="1">
      <alignment horizontal="center" vertical="center" wrapText="1" shrinkToFit="1"/>
      <protection/>
    </xf>
    <xf numFmtId="0" fontId="53" fillId="0" borderId="25" xfId="0" applyFont="1" applyFill="1" applyBorder="1" applyAlignment="1" applyProtection="1">
      <alignment horizontal="center" vertical="center" wrapText="1" shrinkToFit="1"/>
      <protection/>
    </xf>
    <xf numFmtId="2" fontId="53" fillId="0" borderId="22" xfId="0" applyNumberFormat="1" applyFont="1" applyBorder="1" applyAlignment="1">
      <alignment horizontal="center" wrapText="1"/>
    </xf>
    <xf numFmtId="2" fontId="53" fillId="0" borderId="36" xfId="0" applyNumberFormat="1" applyFont="1" applyBorder="1" applyAlignment="1">
      <alignment horizontal="center" wrapText="1"/>
    </xf>
    <xf numFmtId="2" fontId="53" fillId="0" borderId="45" xfId="0" applyNumberFormat="1" applyFont="1" applyBorder="1" applyAlignment="1">
      <alignment horizontal="center" wrapText="1"/>
    </xf>
    <xf numFmtId="2" fontId="53" fillId="0" borderId="26" xfId="0" applyNumberFormat="1" applyFont="1" applyFill="1" applyBorder="1" applyAlignment="1">
      <alignment horizontal="center" vertical="center" wrapText="1"/>
    </xf>
    <xf numFmtId="2" fontId="53" fillId="0" borderId="52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2" fontId="53" fillId="0" borderId="19" xfId="0" applyNumberFormat="1" applyFont="1" applyBorder="1" applyAlignment="1">
      <alignment horizontal="center" wrapText="1"/>
    </xf>
    <xf numFmtId="2" fontId="53" fillId="0" borderId="24" xfId="0" applyNumberFormat="1" applyFont="1" applyBorder="1" applyAlignment="1">
      <alignment horizontal="center" wrapText="1"/>
    </xf>
    <xf numFmtId="2" fontId="53" fillId="0" borderId="17" xfId="0" applyNumberFormat="1" applyFont="1" applyBorder="1" applyAlignment="1">
      <alignment horizontal="center" wrapText="1"/>
    </xf>
    <xf numFmtId="2" fontId="53" fillId="0" borderId="18" xfId="0" applyNumberFormat="1" applyFont="1" applyBorder="1" applyAlignment="1">
      <alignment horizont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49" xfId="0" applyFont="1" applyFill="1" applyBorder="1" applyAlignment="1">
      <alignment horizontal="center" vertical="center" wrapText="1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164" fontId="7" fillId="0" borderId="4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9" fillId="0" borderId="68" xfId="0" applyFont="1" applyBorder="1" applyAlignment="1">
      <alignment horizontal="left" vertical="center"/>
    </xf>
    <xf numFmtId="0" fontId="59" fillId="0" borderId="69" xfId="0" applyFont="1" applyBorder="1" applyAlignment="1">
      <alignment horizontal="left" vertical="center"/>
    </xf>
    <xf numFmtId="0" fontId="59" fillId="0" borderId="70" xfId="0" applyFont="1" applyBorder="1" applyAlignment="1">
      <alignment horizontal="left" vertical="center"/>
    </xf>
    <xf numFmtId="0" fontId="53" fillId="0" borderId="13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2" fontId="53" fillId="0" borderId="62" xfId="0" applyNumberFormat="1" applyFont="1" applyBorder="1" applyAlignment="1">
      <alignment horizontal="center" vertical="center" wrapText="1"/>
    </xf>
    <xf numFmtId="2" fontId="53" fillId="0" borderId="71" xfId="0" applyNumberFormat="1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2" fontId="53" fillId="0" borderId="37" xfId="0" applyNumberFormat="1" applyFont="1" applyBorder="1" applyAlignment="1">
      <alignment horizontal="center" vertical="center"/>
    </xf>
    <xf numFmtId="2" fontId="53" fillId="0" borderId="31" xfId="0" applyNumberFormat="1" applyFont="1" applyBorder="1" applyAlignment="1">
      <alignment horizontal="center" vertical="center"/>
    </xf>
    <xf numFmtId="2" fontId="53" fillId="0" borderId="40" xfId="0" applyNumberFormat="1" applyFont="1" applyBorder="1" applyAlignment="1">
      <alignment horizontal="center" vertical="center"/>
    </xf>
    <xf numFmtId="2" fontId="53" fillId="0" borderId="47" xfId="0" applyNumberFormat="1" applyFont="1" applyBorder="1" applyAlignment="1">
      <alignment horizontal="center" vertical="center"/>
    </xf>
    <xf numFmtId="2" fontId="53" fillId="0" borderId="62" xfId="0" applyNumberFormat="1" applyFont="1" applyBorder="1" applyAlignment="1">
      <alignment horizontal="center" vertical="center"/>
    </xf>
    <xf numFmtId="2" fontId="53" fillId="0" borderId="56" xfId="0" applyNumberFormat="1" applyFont="1" applyBorder="1" applyAlignment="1">
      <alignment horizontal="center" vertical="center"/>
    </xf>
    <xf numFmtId="0" fontId="53" fillId="0" borderId="22" xfId="0" applyFont="1" applyFill="1" applyBorder="1" applyAlignment="1" applyProtection="1">
      <alignment horizontal="center" vertical="center" shrinkToFit="1"/>
      <protection/>
    </xf>
    <xf numFmtId="0" fontId="53" fillId="0" borderId="35" xfId="0" applyFont="1" applyFill="1" applyBorder="1" applyAlignment="1" applyProtection="1">
      <alignment horizontal="center" vertical="center" shrinkToFit="1"/>
      <protection/>
    </xf>
    <xf numFmtId="0" fontId="53" fillId="0" borderId="45" xfId="0" applyFont="1" applyFill="1" applyBorder="1" applyAlignment="1" applyProtection="1">
      <alignment horizontal="center" vertical="center" shrinkToFi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53" fillId="0" borderId="23" xfId="0" applyFont="1" applyBorder="1" applyAlignment="1">
      <alignment horizontal="center" vertical="center" wrapText="1"/>
    </xf>
    <xf numFmtId="0" fontId="53" fillId="0" borderId="74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2" fontId="53" fillId="0" borderId="64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jpeg" /><Relationship Id="rId13" Type="http://schemas.openxmlformats.org/officeDocument/2006/relationships/image" Target="../media/image22.png" /><Relationship Id="rId14" Type="http://schemas.openxmlformats.org/officeDocument/2006/relationships/image" Target="../media/image23.jpeg" /><Relationship Id="rId15" Type="http://schemas.openxmlformats.org/officeDocument/2006/relationships/image" Target="../media/image24.png" /><Relationship Id="rId16" Type="http://schemas.openxmlformats.org/officeDocument/2006/relationships/image" Target="../media/image25.png" /><Relationship Id="rId17" Type="http://schemas.openxmlformats.org/officeDocument/2006/relationships/image" Target="../media/image26.png" /><Relationship Id="rId18" Type="http://schemas.openxmlformats.org/officeDocument/2006/relationships/image" Target="../media/image2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2</xdr:col>
      <xdr:colOff>238125</xdr:colOff>
      <xdr:row>0</xdr:row>
      <xdr:rowOff>1066800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1866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2</xdr:row>
      <xdr:rowOff>161925</xdr:rowOff>
    </xdr:from>
    <xdr:to>
      <xdr:col>8</xdr:col>
      <xdr:colOff>57150</xdr:colOff>
      <xdr:row>3</xdr:row>
      <xdr:rowOff>85725</xdr:rowOff>
    </xdr:to>
    <xdr:pic>
      <xdr:nvPicPr>
        <xdr:cNvPr id="2" name="Рисунок 2" descr="европрофиль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62525" y="2409825"/>
          <a:ext cx="1924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28</xdr:row>
      <xdr:rowOff>47625</xdr:rowOff>
    </xdr:from>
    <xdr:to>
      <xdr:col>7</xdr:col>
      <xdr:colOff>228600</xdr:colOff>
      <xdr:row>28</xdr:row>
      <xdr:rowOff>419100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7600950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37</xdr:row>
      <xdr:rowOff>200025</xdr:rowOff>
    </xdr:from>
    <xdr:to>
      <xdr:col>3</xdr:col>
      <xdr:colOff>676275</xdr:colOff>
      <xdr:row>37</xdr:row>
      <xdr:rowOff>600075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989647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37</xdr:row>
      <xdr:rowOff>57150</xdr:rowOff>
    </xdr:from>
    <xdr:to>
      <xdr:col>6</xdr:col>
      <xdr:colOff>104775</xdr:colOff>
      <xdr:row>37</xdr:row>
      <xdr:rowOff>600075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19625" y="975360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37</xdr:row>
      <xdr:rowOff>95250</xdr:rowOff>
    </xdr:from>
    <xdr:to>
      <xdr:col>4</xdr:col>
      <xdr:colOff>581025</xdr:colOff>
      <xdr:row>37</xdr:row>
      <xdr:rowOff>561975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09975" y="97917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37</xdr:row>
      <xdr:rowOff>123825</xdr:rowOff>
    </xdr:from>
    <xdr:to>
      <xdr:col>6</xdr:col>
      <xdr:colOff>447675</xdr:colOff>
      <xdr:row>37</xdr:row>
      <xdr:rowOff>123825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00650" y="98202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37</xdr:row>
      <xdr:rowOff>161925</xdr:rowOff>
    </xdr:from>
    <xdr:to>
      <xdr:col>8</xdr:col>
      <xdr:colOff>476250</xdr:colOff>
      <xdr:row>37</xdr:row>
      <xdr:rowOff>161925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8875" y="98583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157</xdr:row>
      <xdr:rowOff>0</xdr:rowOff>
    </xdr:from>
    <xdr:to>
      <xdr:col>4</xdr:col>
      <xdr:colOff>723900</xdr:colOff>
      <xdr:row>157</xdr:row>
      <xdr:rowOff>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39756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177</xdr:row>
      <xdr:rowOff>114300</xdr:rowOff>
    </xdr:from>
    <xdr:to>
      <xdr:col>7</xdr:col>
      <xdr:colOff>495300</xdr:colOff>
      <xdr:row>177</xdr:row>
      <xdr:rowOff>552450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39119175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158</xdr:row>
      <xdr:rowOff>38100</xdr:rowOff>
    </xdr:from>
    <xdr:to>
      <xdr:col>7</xdr:col>
      <xdr:colOff>171450</xdr:colOff>
      <xdr:row>158</xdr:row>
      <xdr:rowOff>485775</xdr:rowOff>
    </xdr:to>
    <xdr:pic>
      <xdr:nvPicPr>
        <xdr:cNvPr id="11" name="Рисунок 16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91200" y="348900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37</xdr:row>
      <xdr:rowOff>85725</xdr:rowOff>
    </xdr:from>
    <xdr:to>
      <xdr:col>7</xdr:col>
      <xdr:colOff>342900</xdr:colOff>
      <xdr:row>37</xdr:row>
      <xdr:rowOff>533400</xdr:rowOff>
    </xdr:to>
    <xdr:pic>
      <xdr:nvPicPr>
        <xdr:cNvPr id="12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0" y="9782175"/>
          <a:ext cx="704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37</xdr:row>
      <xdr:rowOff>123825</xdr:rowOff>
    </xdr:from>
    <xdr:to>
      <xdr:col>9</xdr:col>
      <xdr:colOff>95250</xdr:colOff>
      <xdr:row>37</xdr:row>
      <xdr:rowOff>552450</xdr:rowOff>
    </xdr:to>
    <xdr:pic>
      <xdr:nvPicPr>
        <xdr:cNvPr id="13" name="Рисунок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77075" y="9820275"/>
          <a:ext cx="600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157</xdr:row>
      <xdr:rowOff>0</xdr:rowOff>
    </xdr:from>
    <xdr:to>
      <xdr:col>4</xdr:col>
      <xdr:colOff>723900</xdr:colOff>
      <xdr:row>157</xdr:row>
      <xdr:rowOff>0</xdr:rowOff>
    </xdr:to>
    <xdr:pic>
      <xdr:nvPicPr>
        <xdr:cNvPr id="14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39756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15</xdr:row>
      <xdr:rowOff>85725</xdr:rowOff>
    </xdr:from>
    <xdr:to>
      <xdr:col>7</xdr:col>
      <xdr:colOff>609600</xdr:colOff>
      <xdr:row>15</xdr:row>
      <xdr:rowOff>295275</xdr:rowOff>
    </xdr:to>
    <xdr:pic>
      <xdr:nvPicPr>
        <xdr:cNvPr id="15" name="Рисунок 21" descr="Софт-Лайн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05425" y="5086350"/>
          <a:ext cx="1381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157</xdr:row>
      <xdr:rowOff>0</xdr:rowOff>
    </xdr:from>
    <xdr:to>
      <xdr:col>4</xdr:col>
      <xdr:colOff>723900</xdr:colOff>
      <xdr:row>157</xdr:row>
      <xdr:rowOff>0</xdr:rowOff>
    </xdr:to>
    <xdr:pic>
      <xdr:nvPicPr>
        <xdr:cNvPr id="16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39756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236</xdr:row>
      <xdr:rowOff>85725</xdr:rowOff>
    </xdr:from>
    <xdr:to>
      <xdr:col>7</xdr:col>
      <xdr:colOff>85725</xdr:colOff>
      <xdr:row>236</xdr:row>
      <xdr:rowOff>352425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133975" y="52530375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235</xdr:row>
      <xdr:rowOff>0</xdr:rowOff>
    </xdr:from>
    <xdr:to>
      <xdr:col>6</xdr:col>
      <xdr:colOff>514350</xdr:colOff>
      <xdr:row>235</xdr:row>
      <xdr:rowOff>0</xdr:rowOff>
    </xdr:to>
    <xdr:pic>
      <xdr:nvPicPr>
        <xdr:cNvPr id="18" name="Рисунок 32" descr="Безымянный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00525" y="52244625"/>
          <a:ext cx="1562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191</xdr:row>
      <xdr:rowOff>114300</xdr:rowOff>
    </xdr:from>
    <xdr:to>
      <xdr:col>7</xdr:col>
      <xdr:colOff>552450</xdr:colOff>
      <xdr:row>191</xdr:row>
      <xdr:rowOff>342900</xdr:rowOff>
    </xdr:to>
    <xdr:pic>
      <xdr:nvPicPr>
        <xdr:cNvPr id="19" name="Рисунок 32" descr="Безымянный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76825" y="42605325"/>
          <a:ext cx="1552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203</xdr:row>
      <xdr:rowOff>38100</xdr:rowOff>
    </xdr:from>
    <xdr:to>
      <xdr:col>7</xdr:col>
      <xdr:colOff>695325</xdr:colOff>
      <xdr:row>203</xdr:row>
      <xdr:rowOff>561975</xdr:rowOff>
    </xdr:to>
    <xdr:pic>
      <xdr:nvPicPr>
        <xdr:cNvPr id="20" name="Рисунок 2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45091350"/>
          <a:ext cx="1876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223</xdr:row>
      <xdr:rowOff>76200</xdr:rowOff>
    </xdr:from>
    <xdr:to>
      <xdr:col>7</xdr:col>
      <xdr:colOff>438150</xdr:colOff>
      <xdr:row>223</xdr:row>
      <xdr:rowOff>352425</xdr:rowOff>
    </xdr:to>
    <xdr:pic>
      <xdr:nvPicPr>
        <xdr:cNvPr id="21" name="Рисунок 18"/>
        <xdr:cNvPicPr preferRelativeResize="1">
          <a:picLocks noChangeAspect="1"/>
        </xdr:cNvPicPr>
      </xdr:nvPicPr>
      <xdr:blipFill>
        <a:blip r:embed="rId1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953000" y="49701450"/>
          <a:ext cx="1562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52</xdr:row>
      <xdr:rowOff>47625</xdr:rowOff>
    </xdr:from>
    <xdr:to>
      <xdr:col>7</xdr:col>
      <xdr:colOff>704850</xdr:colOff>
      <xdr:row>52</xdr:row>
      <xdr:rowOff>400050</xdr:rowOff>
    </xdr:to>
    <xdr:pic>
      <xdr:nvPicPr>
        <xdr:cNvPr id="22" name="Рисунок 20" descr="бревно-чертеж2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05425" y="12896850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70</xdr:row>
      <xdr:rowOff>95250</xdr:rowOff>
    </xdr:from>
    <xdr:to>
      <xdr:col>7</xdr:col>
      <xdr:colOff>733425</xdr:colOff>
      <xdr:row>70</xdr:row>
      <xdr:rowOff>428625</xdr:rowOff>
    </xdr:to>
    <xdr:pic>
      <xdr:nvPicPr>
        <xdr:cNvPr id="23" name="Рисунок 21" descr="брус-чертеж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3525" y="16449675"/>
          <a:ext cx="1466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76</xdr:row>
      <xdr:rowOff>104775</xdr:rowOff>
    </xdr:from>
    <xdr:to>
      <xdr:col>8</xdr:col>
      <xdr:colOff>9525</xdr:colOff>
      <xdr:row>76</xdr:row>
      <xdr:rowOff>523875</xdr:rowOff>
    </xdr:to>
    <xdr:pic>
      <xdr:nvPicPr>
        <xdr:cNvPr id="24" name="Рисунок 23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05450" y="17897475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183</xdr:row>
      <xdr:rowOff>19050</xdr:rowOff>
    </xdr:from>
    <xdr:to>
      <xdr:col>8</xdr:col>
      <xdr:colOff>85725</xdr:colOff>
      <xdr:row>184</xdr:row>
      <xdr:rowOff>19050</xdr:rowOff>
    </xdr:to>
    <xdr:pic>
      <xdr:nvPicPr>
        <xdr:cNvPr id="25" name="Рисунок 2" descr="европрофиль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91100" y="40652700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244</xdr:row>
      <xdr:rowOff>95250</xdr:rowOff>
    </xdr:from>
    <xdr:to>
      <xdr:col>7</xdr:col>
      <xdr:colOff>371475</xdr:colOff>
      <xdr:row>244</xdr:row>
      <xdr:rowOff>314325</xdr:rowOff>
    </xdr:to>
    <xdr:pic>
      <xdr:nvPicPr>
        <xdr:cNvPr id="26" name="Рисунок 32" descr="Безымянный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95850" y="54311550"/>
          <a:ext cx="1552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96</xdr:row>
      <xdr:rowOff>9525</xdr:rowOff>
    </xdr:from>
    <xdr:to>
      <xdr:col>8</xdr:col>
      <xdr:colOff>219075</xdr:colOff>
      <xdr:row>96</xdr:row>
      <xdr:rowOff>514350</xdr:rowOff>
    </xdr:to>
    <xdr:pic>
      <xdr:nvPicPr>
        <xdr:cNvPr id="27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43625" y="22069425"/>
          <a:ext cx="904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96</xdr:row>
      <xdr:rowOff>142875</xdr:rowOff>
    </xdr:from>
    <xdr:to>
      <xdr:col>4</xdr:col>
      <xdr:colOff>723900</xdr:colOff>
      <xdr:row>96</xdr:row>
      <xdr:rowOff>142875</xdr:rowOff>
    </xdr:to>
    <xdr:pic>
      <xdr:nvPicPr>
        <xdr:cNvPr id="28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222027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96</xdr:row>
      <xdr:rowOff>47625</xdr:rowOff>
    </xdr:from>
    <xdr:to>
      <xdr:col>10</xdr:col>
      <xdr:colOff>152400</xdr:colOff>
      <xdr:row>96</xdr:row>
      <xdr:rowOff>466725</xdr:rowOff>
    </xdr:to>
    <xdr:pic>
      <xdr:nvPicPr>
        <xdr:cNvPr id="29" name="Рисунок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05725" y="22107525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96</xdr:row>
      <xdr:rowOff>95250</xdr:rowOff>
    </xdr:from>
    <xdr:to>
      <xdr:col>6</xdr:col>
      <xdr:colOff>19050</xdr:colOff>
      <xdr:row>96</xdr:row>
      <xdr:rowOff>447675</xdr:rowOff>
    </xdr:to>
    <xdr:pic>
      <xdr:nvPicPr>
        <xdr:cNvPr id="30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33900" y="22155150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138</xdr:row>
      <xdr:rowOff>0</xdr:rowOff>
    </xdr:from>
    <xdr:to>
      <xdr:col>4</xdr:col>
      <xdr:colOff>723900</xdr:colOff>
      <xdr:row>138</xdr:row>
      <xdr:rowOff>0</xdr:rowOff>
    </xdr:to>
    <xdr:pic>
      <xdr:nvPicPr>
        <xdr:cNvPr id="31" name="Рисунок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04800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142</xdr:row>
      <xdr:rowOff>0</xdr:rowOff>
    </xdr:from>
    <xdr:to>
      <xdr:col>4</xdr:col>
      <xdr:colOff>723900</xdr:colOff>
      <xdr:row>142</xdr:row>
      <xdr:rowOff>0</xdr:rowOff>
    </xdr:to>
    <xdr:pic>
      <xdr:nvPicPr>
        <xdr:cNvPr id="32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0" y="312610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215</xdr:row>
      <xdr:rowOff>47625</xdr:rowOff>
    </xdr:from>
    <xdr:to>
      <xdr:col>7</xdr:col>
      <xdr:colOff>695325</xdr:colOff>
      <xdr:row>215</xdr:row>
      <xdr:rowOff>409575</xdr:rowOff>
    </xdr:to>
    <xdr:pic>
      <xdr:nvPicPr>
        <xdr:cNvPr id="33" name="Рисунок 21" descr="брус-чертеж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33900" y="47863125"/>
          <a:ext cx="2238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23</xdr:row>
      <xdr:rowOff>85725</xdr:rowOff>
    </xdr:from>
    <xdr:to>
      <xdr:col>7</xdr:col>
      <xdr:colOff>609600</xdr:colOff>
      <xdr:row>23</xdr:row>
      <xdr:rowOff>295275</xdr:rowOff>
    </xdr:to>
    <xdr:pic>
      <xdr:nvPicPr>
        <xdr:cNvPr id="34" name="Рисунок 21" descr="Софт-Лайн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05425" y="6667500"/>
          <a:ext cx="1381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33</xdr:row>
      <xdr:rowOff>47625</xdr:rowOff>
    </xdr:from>
    <xdr:to>
      <xdr:col>7</xdr:col>
      <xdr:colOff>228600</xdr:colOff>
      <xdr:row>33</xdr:row>
      <xdr:rowOff>409575</xdr:rowOff>
    </xdr:to>
    <xdr:pic>
      <xdr:nvPicPr>
        <xdr:cNvPr id="35" name="Рисунок 3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8696325"/>
          <a:ext cx="790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190500</xdr:rowOff>
    </xdr:from>
    <xdr:to>
      <xdr:col>0</xdr:col>
      <xdr:colOff>590550</xdr:colOff>
      <xdr:row>28</xdr:row>
      <xdr:rowOff>200025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45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495300</xdr:colOff>
      <xdr:row>28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161925</xdr:rowOff>
    </xdr:from>
    <xdr:to>
      <xdr:col>1</xdr:col>
      <xdr:colOff>66675</xdr:colOff>
      <xdr:row>28</xdr:row>
      <xdr:rowOff>161925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9592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142875</xdr:rowOff>
    </xdr:from>
    <xdr:to>
      <xdr:col>0</xdr:col>
      <xdr:colOff>685800</xdr:colOff>
      <xdr:row>35</xdr:row>
      <xdr:rowOff>142875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103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685800</xdr:colOff>
      <xdr:row>62</xdr:row>
      <xdr:rowOff>0</xdr:rowOff>
    </xdr:to>
    <xdr:pic>
      <xdr:nvPicPr>
        <xdr:cNvPr id="5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685800</xdr:colOff>
      <xdr:row>63</xdr:row>
      <xdr:rowOff>0</xdr:rowOff>
    </xdr:to>
    <xdr:pic>
      <xdr:nvPicPr>
        <xdr:cNvPr id="6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1"/>
  <sheetViews>
    <sheetView tabSelected="1" zoomScale="75" zoomScaleNormal="75" workbookViewId="0" topLeftCell="A1">
      <selection activeCell="N1" sqref="N1"/>
    </sheetView>
  </sheetViews>
  <sheetFormatPr defaultColWidth="9.140625" defaultRowHeight="15"/>
  <cols>
    <col min="1" max="1" width="1.28515625" style="0" customWidth="1"/>
    <col min="2" max="2" width="26.57421875" style="0" customWidth="1"/>
    <col min="3" max="3" width="9.7109375" style="0" customWidth="1"/>
    <col min="4" max="4" width="16.140625" style="0" customWidth="1"/>
    <col min="5" max="5" width="13.8515625" style="0" customWidth="1"/>
    <col min="6" max="6" width="11.140625" style="0" customWidth="1"/>
    <col min="7" max="7" width="12.421875" style="0" customWidth="1"/>
    <col min="8" max="11" width="11.28125" style="0" customWidth="1"/>
    <col min="12" max="12" width="11.140625" style="0" customWidth="1"/>
    <col min="13" max="13" width="11.28125" style="0" customWidth="1"/>
    <col min="16" max="16" width="10.28125" style="0" customWidth="1"/>
    <col min="18" max="18" width="13.00390625" style="0" customWidth="1"/>
  </cols>
  <sheetData>
    <row r="1" spans="2:14" ht="138.75" customHeight="1" thickBot="1">
      <c r="B1" s="380" t="s">
        <v>306</v>
      </c>
      <c r="C1" s="381"/>
      <c r="D1" s="389" t="s">
        <v>278</v>
      </c>
      <c r="E1" s="390"/>
      <c r="F1" s="390"/>
      <c r="G1" s="390"/>
      <c r="H1" s="390"/>
      <c r="I1" s="390"/>
      <c r="J1" s="386" t="s">
        <v>204</v>
      </c>
      <c r="K1" s="387"/>
      <c r="L1" s="387"/>
      <c r="M1" s="388"/>
      <c r="N1" s="54"/>
    </row>
    <row r="2" spans="2:13" ht="38.25" customHeight="1" thickBo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5"/>
    </row>
    <row r="3" spans="2:13" ht="42.75" customHeight="1">
      <c r="B3" s="328" t="s">
        <v>0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30"/>
    </row>
    <row r="4" spans="2:13" ht="15">
      <c r="B4" s="382" t="s">
        <v>1</v>
      </c>
      <c r="C4" s="383" t="s">
        <v>117</v>
      </c>
      <c r="D4" s="383" t="s">
        <v>118</v>
      </c>
      <c r="E4" s="384" t="s">
        <v>2</v>
      </c>
      <c r="F4" s="384"/>
      <c r="G4" s="384"/>
      <c r="H4" s="384" t="s">
        <v>3</v>
      </c>
      <c r="I4" s="384"/>
      <c r="J4" s="384"/>
      <c r="K4" s="384" t="s">
        <v>4</v>
      </c>
      <c r="L4" s="384"/>
      <c r="M4" s="385"/>
    </row>
    <row r="5" spans="2:13" ht="21.75" customHeight="1">
      <c r="B5" s="382"/>
      <c r="C5" s="383"/>
      <c r="D5" s="383"/>
      <c r="E5" s="6" t="s">
        <v>5</v>
      </c>
      <c r="F5" s="55" t="s">
        <v>113</v>
      </c>
      <c r="G5" s="6" t="s">
        <v>6</v>
      </c>
      <c r="H5" s="6" t="s">
        <v>5</v>
      </c>
      <c r="I5" s="55" t="s">
        <v>113</v>
      </c>
      <c r="J5" s="6" t="s">
        <v>6</v>
      </c>
      <c r="K5" s="6" t="s">
        <v>5</v>
      </c>
      <c r="L5" s="55" t="s">
        <v>113</v>
      </c>
      <c r="M5" s="7" t="s">
        <v>6</v>
      </c>
    </row>
    <row r="6" spans="2:13" ht="15">
      <c r="B6" s="8" t="s">
        <v>7</v>
      </c>
      <c r="C6" s="9">
        <v>10</v>
      </c>
      <c r="D6" s="58">
        <v>1.76</v>
      </c>
      <c r="E6" s="38">
        <v>15600</v>
      </c>
      <c r="F6" s="90">
        <f aca="true" t="shared" si="0" ref="F6:F14">E6*0.0125*96/88</f>
        <v>212.72727272727272</v>
      </c>
      <c r="G6" s="39">
        <f>E6*0.024</f>
        <v>374.40000000000003</v>
      </c>
      <c r="H6" s="40">
        <v>13100</v>
      </c>
      <c r="I6" s="90">
        <f aca="true" t="shared" si="1" ref="I6:I13">H6*0.0125*96/88</f>
        <v>178.63636363636363</v>
      </c>
      <c r="J6" s="39">
        <f>H6*0.024</f>
        <v>314.40000000000003</v>
      </c>
      <c r="K6" s="40">
        <v>7600</v>
      </c>
      <c r="L6" s="90">
        <f aca="true" t="shared" si="2" ref="L6:L13">K6*0.0125*96/88</f>
        <v>103.63636363636364</v>
      </c>
      <c r="M6" s="44">
        <f>K6*0.024</f>
        <v>182.4</v>
      </c>
    </row>
    <row r="7" spans="2:13" ht="15">
      <c r="B7" s="8" t="s">
        <v>8</v>
      </c>
      <c r="C7" s="9">
        <v>10</v>
      </c>
      <c r="D7" s="58">
        <v>1.848</v>
      </c>
      <c r="E7" s="38">
        <v>15600</v>
      </c>
      <c r="F7" s="90">
        <f t="shared" si="0"/>
        <v>212.72727272727272</v>
      </c>
      <c r="G7" s="39">
        <f>E7*0.0252</f>
        <v>393.12</v>
      </c>
      <c r="H7" s="40">
        <v>13100</v>
      </c>
      <c r="I7" s="90">
        <f t="shared" si="1"/>
        <v>178.63636363636363</v>
      </c>
      <c r="J7" s="39">
        <f>H7*0.0252</f>
        <v>330.12</v>
      </c>
      <c r="K7" s="40">
        <v>7600</v>
      </c>
      <c r="L7" s="90">
        <f t="shared" si="2"/>
        <v>103.63636363636364</v>
      </c>
      <c r="M7" s="44">
        <f>K7*0.0252</f>
        <v>191.52</v>
      </c>
    </row>
    <row r="8" spans="2:13" ht="15">
      <c r="B8" s="8" t="s">
        <v>9</v>
      </c>
      <c r="C8" s="9">
        <v>10</v>
      </c>
      <c r="D8" s="58">
        <v>2.112</v>
      </c>
      <c r="E8" s="38">
        <v>15900</v>
      </c>
      <c r="F8" s="90">
        <f t="shared" si="0"/>
        <v>216.8181818181818</v>
      </c>
      <c r="G8" s="39">
        <f>E8*0.0288</f>
        <v>457.91999999999996</v>
      </c>
      <c r="H8" s="40">
        <v>13300</v>
      </c>
      <c r="I8" s="90">
        <f t="shared" si="1"/>
        <v>181.36363636363637</v>
      </c>
      <c r="J8" s="39">
        <f>H8*0.0288</f>
        <v>383.03999999999996</v>
      </c>
      <c r="K8" s="40">
        <v>7600</v>
      </c>
      <c r="L8" s="90">
        <f t="shared" si="2"/>
        <v>103.63636363636364</v>
      </c>
      <c r="M8" s="44">
        <f>K8*0.0288</f>
        <v>218.88</v>
      </c>
    </row>
    <row r="9" spans="2:13" ht="15">
      <c r="B9" s="8" t="s">
        <v>10</v>
      </c>
      <c r="C9" s="9">
        <v>10</v>
      </c>
      <c r="D9" s="58">
        <v>2.2</v>
      </c>
      <c r="E9" s="38">
        <v>15900</v>
      </c>
      <c r="F9" s="90">
        <f t="shared" si="0"/>
        <v>216.8181818181818</v>
      </c>
      <c r="G9" s="39">
        <f>E9*0.03</f>
        <v>477</v>
      </c>
      <c r="H9" s="40">
        <v>13300</v>
      </c>
      <c r="I9" s="90">
        <f t="shared" si="1"/>
        <v>181.36363636363637</v>
      </c>
      <c r="J9" s="39">
        <f>H9*0.03</f>
        <v>399</v>
      </c>
      <c r="K9" s="40">
        <v>7600</v>
      </c>
      <c r="L9" s="90">
        <f t="shared" si="2"/>
        <v>103.63636363636364</v>
      </c>
      <c r="M9" s="44">
        <f>K9*0.03</f>
        <v>228</v>
      </c>
    </row>
    <row r="10" spans="2:13" ht="15">
      <c r="B10" s="8" t="s">
        <v>11</v>
      </c>
      <c r="C10" s="9">
        <v>10</v>
      </c>
      <c r="D10" s="58">
        <v>2.376</v>
      </c>
      <c r="E10" s="38">
        <v>15600</v>
      </c>
      <c r="F10" s="90">
        <f t="shared" si="0"/>
        <v>212.72727272727272</v>
      </c>
      <c r="G10" s="39">
        <f>E10*0.0324</f>
        <v>505.44</v>
      </c>
      <c r="H10" s="40">
        <v>13100</v>
      </c>
      <c r="I10" s="90">
        <f t="shared" si="1"/>
        <v>178.63636363636363</v>
      </c>
      <c r="J10" s="39">
        <f>H10*0.0324</f>
        <v>424.44</v>
      </c>
      <c r="K10" s="40">
        <v>7600</v>
      </c>
      <c r="L10" s="90">
        <f t="shared" si="2"/>
        <v>103.63636363636364</v>
      </c>
      <c r="M10" s="44">
        <f>K10*0.0324</f>
        <v>246.23999999999998</v>
      </c>
    </row>
    <row r="11" spans="2:13" ht="15">
      <c r="B11" s="8" t="s">
        <v>12</v>
      </c>
      <c r="C11" s="9">
        <v>10</v>
      </c>
      <c r="D11" s="58">
        <v>2.64</v>
      </c>
      <c r="E11" s="38">
        <v>15600</v>
      </c>
      <c r="F11" s="90">
        <f t="shared" si="0"/>
        <v>212.72727272727272</v>
      </c>
      <c r="G11" s="39">
        <f>E11*0.036</f>
        <v>561.5999999999999</v>
      </c>
      <c r="H11" s="40">
        <v>13100</v>
      </c>
      <c r="I11" s="90">
        <f t="shared" si="1"/>
        <v>178.63636363636363</v>
      </c>
      <c r="J11" s="39">
        <f>H11*0.036</f>
        <v>471.59999999999997</v>
      </c>
      <c r="K11" s="40">
        <v>7600</v>
      </c>
      <c r="L11" s="90">
        <f t="shared" si="2"/>
        <v>103.63636363636364</v>
      </c>
      <c r="M11" s="44">
        <f>K11*0.036</f>
        <v>273.59999999999997</v>
      </c>
    </row>
    <row r="12" spans="2:13" ht="15">
      <c r="B12" s="8" t="s">
        <v>13</v>
      </c>
      <c r="C12" s="9">
        <v>10</v>
      </c>
      <c r="D12" s="58">
        <v>3.168</v>
      </c>
      <c r="E12" s="38">
        <v>15600</v>
      </c>
      <c r="F12" s="90">
        <f t="shared" si="0"/>
        <v>212.72727272727272</v>
      </c>
      <c r="G12" s="39">
        <f>E12*0.0432</f>
        <v>673.9200000000001</v>
      </c>
      <c r="H12" s="40">
        <v>13100</v>
      </c>
      <c r="I12" s="90">
        <f t="shared" si="1"/>
        <v>178.63636363636363</v>
      </c>
      <c r="J12" s="39">
        <f>H12*0.0432</f>
        <v>565.9200000000001</v>
      </c>
      <c r="K12" s="40">
        <v>7600</v>
      </c>
      <c r="L12" s="90">
        <f t="shared" si="2"/>
        <v>103.63636363636364</v>
      </c>
      <c r="M12" s="44">
        <f>K12*0.0432</f>
        <v>328.32</v>
      </c>
    </row>
    <row r="13" spans="2:13" ht="15">
      <c r="B13" s="8" t="s">
        <v>14</v>
      </c>
      <c r="C13" s="9">
        <v>10</v>
      </c>
      <c r="D13" s="58">
        <v>3.432</v>
      </c>
      <c r="E13" s="38">
        <v>15600</v>
      </c>
      <c r="F13" s="90">
        <f t="shared" si="0"/>
        <v>212.72727272727272</v>
      </c>
      <c r="G13" s="39">
        <f>E13*0.0468</f>
        <v>730.08</v>
      </c>
      <c r="H13" s="40">
        <v>13100</v>
      </c>
      <c r="I13" s="90">
        <f t="shared" si="1"/>
        <v>178.63636363636363</v>
      </c>
      <c r="J13" s="39">
        <f>H13*0.0468</f>
        <v>613.08</v>
      </c>
      <c r="K13" s="40">
        <v>7600</v>
      </c>
      <c r="L13" s="90">
        <f t="shared" si="2"/>
        <v>103.63636363636364</v>
      </c>
      <c r="M13" s="44">
        <f>K13*0.0468</f>
        <v>355.68</v>
      </c>
    </row>
    <row r="14" spans="2:13" ht="15.75" thickBot="1">
      <c r="B14" s="10" t="s">
        <v>15</v>
      </c>
      <c r="C14" s="11">
        <v>10</v>
      </c>
      <c r="D14" s="59">
        <v>3.52</v>
      </c>
      <c r="E14" s="91">
        <v>15600</v>
      </c>
      <c r="F14" s="92">
        <f t="shared" si="0"/>
        <v>212.72727272727272</v>
      </c>
      <c r="G14" s="41">
        <f>E14*0.048</f>
        <v>748.8000000000001</v>
      </c>
      <c r="H14" s="42" t="s">
        <v>16</v>
      </c>
      <c r="I14" s="41" t="s">
        <v>16</v>
      </c>
      <c r="J14" s="42" t="s">
        <v>16</v>
      </c>
      <c r="K14" s="42" t="s">
        <v>16</v>
      </c>
      <c r="L14" s="42" t="s">
        <v>16</v>
      </c>
      <c r="M14" s="43" t="s">
        <v>16</v>
      </c>
    </row>
    <row r="15" spans="2:13" ht="1.5" customHeight="1" thickBo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28.5" customHeight="1">
      <c r="B16" s="136" t="s">
        <v>17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</row>
    <row r="17" spans="2:13" ht="18" customHeight="1">
      <c r="B17" s="139" t="s">
        <v>18</v>
      </c>
      <c r="C17" s="140"/>
      <c r="D17" s="140" t="s">
        <v>19</v>
      </c>
      <c r="E17" s="140"/>
      <c r="F17" s="140" t="s">
        <v>20</v>
      </c>
      <c r="G17" s="140"/>
      <c r="H17" s="140" t="s">
        <v>119</v>
      </c>
      <c r="I17" s="140"/>
      <c r="J17" s="140"/>
      <c r="K17" s="140" t="s">
        <v>21</v>
      </c>
      <c r="L17" s="140"/>
      <c r="M17" s="142"/>
    </row>
    <row r="18" spans="2:13" s="31" customFormat="1" ht="14.25">
      <c r="B18" s="391" t="s">
        <v>22</v>
      </c>
      <c r="C18" s="152"/>
      <c r="D18" s="140" t="s">
        <v>23</v>
      </c>
      <c r="E18" s="140"/>
      <c r="F18" s="140" t="s">
        <v>26</v>
      </c>
      <c r="G18" s="140"/>
      <c r="H18" s="147">
        <f>K18/0.088</f>
        <v>556.8181818181819</v>
      </c>
      <c r="I18" s="147"/>
      <c r="J18" s="147"/>
      <c r="K18" s="148">
        <v>49</v>
      </c>
      <c r="L18" s="148"/>
      <c r="M18" s="149"/>
    </row>
    <row r="19" spans="2:13" s="31" customFormat="1" ht="14.25">
      <c r="B19" s="391"/>
      <c r="C19" s="152"/>
      <c r="D19" s="152" t="s">
        <v>24</v>
      </c>
      <c r="E19" s="152"/>
      <c r="F19" s="152" t="s">
        <v>26</v>
      </c>
      <c r="G19" s="152"/>
      <c r="H19" s="147">
        <f>K19/0.088</f>
        <v>590.909090909091</v>
      </c>
      <c r="I19" s="147"/>
      <c r="J19" s="147"/>
      <c r="K19" s="147">
        <v>52</v>
      </c>
      <c r="L19" s="147"/>
      <c r="M19" s="392"/>
    </row>
    <row r="20" spans="2:13" s="31" customFormat="1" ht="14.25">
      <c r="B20" s="391"/>
      <c r="C20" s="152"/>
      <c r="D20" s="152" t="s">
        <v>25</v>
      </c>
      <c r="E20" s="152"/>
      <c r="F20" s="152" t="s">
        <v>26</v>
      </c>
      <c r="G20" s="152"/>
      <c r="H20" s="147">
        <f>K20/0.088</f>
        <v>750</v>
      </c>
      <c r="I20" s="147"/>
      <c r="J20" s="147"/>
      <c r="K20" s="147">
        <v>66</v>
      </c>
      <c r="L20" s="147"/>
      <c r="M20" s="392"/>
    </row>
    <row r="21" spans="2:13" s="31" customFormat="1" ht="14.25">
      <c r="B21" s="391"/>
      <c r="C21" s="152"/>
      <c r="D21" s="152" t="s">
        <v>24</v>
      </c>
      <c r="E21" s="152"/>
      <c r="F21" s="152" t="s">
        <v>107</v>
      </c>
      <c r="G21" s="152"/>
      <c r="H21" s="147">
        <f>K21/0.088</f>
        <v>500.00000000000006</v>
      </c>
      <c r="I21" s="147"/>
      <c r="J21" s="147"/>
      <c r="K21" s="147">
        <v>44</v>
      </c>
      <c r="L21" s="147"/>
      <c r="M21" s="392"/>
    </row>
    <row r="22" spans="2:13" s="31" customFormat="1" ht="15" thickBot="1">
      <c r="B22" s="131"/>
      <c r="C22" s="132"/>
      <c r="D22" s="132" t="s">
        <v>25</v>
      </c>
      <c r="E22" s="132"/>
      <c r="F22" s="132" t="s">
        <v>107</v>
      </c>
      <c r="G22" s="132"/>
      <c r="H22" s="393">
        <f>K22/0.088</f>
        <v>613.6363636363636</v>
      </c>
      <c r="I22" s="394"/>
      <c r="J22" s="395"/>
      <c r="K22" s="134">
        <v>54</v>
      </c>
      <c r="L22" s="134"/>
      <c r="M22" s="135"/>
    </row>
    <row r="23" spans="2:13" s="31" customFormat="1" ht="6" customHeight="1" thickBot="1">
      <c r="B23" s="28"/>
      <c r="C23" s="28"/>
      <c r="D23" s="28"/>
      <c r="E23" s="28"/>
      <c r="F23" s="28"/>
      <c r="G23" s="28"/>
      <c r="H23" s="127"/>
      <c r="I23" s="127"/>
      <c r="J23" s="127"/>
      <c r="K23" s="127"/>
      <c r="L23" s="127"/>
      <c r="M23" s="127"/>
    </row>
    <row r="24" spans="2:13" s="31" customFormat="1" ht="27" customHeight="1">
      <c r="B24" s="136" t="s">
        <v>304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</row>
    <row r="25" spans="2:13" ht="15">
      <c r="B25" s="139" t="s">
        <v>18</v>
      </c>
      <c r="C25" s="140"/>
      <c r="D25" s="140" t="s">
        <v>19</v>
      </c>
      <c r="E25" s="140"/>
      <c r="F25" s="140" t="s">
        <v>20</v>
      </c>
      <c r="G25" s="140"/>
      <c r="H25" s="140" t="s">
        <v>119</v>
      </c>
      <c r="I25" s="140"/>
      <c r="J25" s="140"/>
      <c r="K25" s="140" t="s">
        <v>21</v>
      </c>
      <c r="L25" s="140"/>
      <c r="M25" s="142"/>
    </row>
    <row r="26" spans="2:13" ht="15">
      <c r="B26" s="143" t="s">
        <v>298</v>
      </c>
      <c r="C26" s="144"/>
      <c r="D26" s="140" t="s">
        <v>300</v>
      </c>
      <c r="E26" s="140"/>
      <c r="F26" s="140" t="s">
        <v>268</v>
      </c>
      <c r="G26" s="140"/>
      <c r="H26" s="147">
        <f>K26/0.088</f>
        <v>1329.5454545454547</v>
      </c>
      <c r="I26" s="147"/>
      <c r="J26" s="147"/>
      <c r="K26" s="148">
        <v>117</v>
      </c>
      <c r="L26" s="148"/>
      <c r="M26" s="149"/>
    </row>
    <row r="27" spans="1:13" ht="15.75" thickBot="1">
      <c r="A27" s="13"/>
      <c r="B27" s="145" t="s">
        <v>299</v>
      </c>
      <c r="C27" s="146"/>
      <c r="D27" s="132" t="s">
        <v>301</v>
      </c>
      <c r="E27" s="132"/>
      <c r="F27" s="132" t="s">
        <v>268</v>
      </c>
      <c r="G27" s="132"/>
      <c r="H27" s="134">
        <f>K27/0.088</f>
        <v>1530</v>
      </c>
      <c r="I27" s="134"/>
      <c r="J27" s="134"/>
      <c r="K27" s="134">
        <v>134.64</v>
      </c>
      <c r="L27" s="134"/>
      <c r="M27" s="135"/>
    </row>
    <row r="28" ht="3.75" customHeight="1" thickBot="1"/>
    <row r="29" spans="1:13" ht="36" customHeight="1">
      <c r="A29" s="14"/>
      <c r="B29" s="136" t="s">
        <v>27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1:13" ht="15">
      <c r="A30" s="14"/>
      <c r="B30" s="139" t="s">
        <v>18</v>
      </c>
      <c r="C30" s="140"/>
      <c r="D30" s="141" t="s">
        <v>19</v>
      </c>
      <c r="E30" s="141"/>
      <c r="F30" s="141" t="s">
        <v>20</v>
      </c>
      <c r="G30" s="141"/>
      <c r="H30" s="141"/>
      <c r="I30" s="140" t="s">
        <v>28</v>
      </c>
      <c r="J30" s="140"/>
      <c r="K30" s="140" t="s">
        <v>21</v>
      </c>
      <c r="L30" s="140"/>
      <c r="M30" s="142"/>
    </row>
    <row r="31" spans="1:13" ht="15">
      <c r="A31" s="14"/>
      <c r="B31" s="391" t="s">
        <v>29</v>
      </c>
      <c r="C31" s="152"/>
      <c r="D31" s="152" t="s">
        <v>30</v>
      </c>
      <c r="E31" s="152"/>
      <c r="F31" s="152" t="s">
        <v>26</v>
      </c>
      <c r="G31" s="152"/>
      <c r="H31" s="152"/>
      <c r="I31" s="396">
        <v>5</v>
      </c>
      <c r="J31" s="396"/>
      <c r="K31" s="147">
        <v>120</v>
      </c>
      <c r="L31" s="147"/>
      <c r="M31" s="392"/>
    </row>
    <row r="32" spans="1:13" ht="15.75" thickBot="1">
      <c r="A32" s="14"/>
      <c r="B32" s="131" t="s">
        <v>29</v>
      </c>
      <c r="C32" s="132"/>
      <c r="D32" s="132" t="s">
        <v>30</v>
      </c>
      <c r="E32" s="132"/>
      <c r="F32" s="132" t="s">
        <v>107</v>
      </c>
      <c r="G32" s="132"/>
      <c r="H32" s="132"/>
      <c r="I32" s="397">
        <v>5</v>
      </c>
      <c r="J32" s="397"/>
      <c r="K32" s="134">
        <v>108</v>
      </c>
      <c r="L32" s="134"/>
      <c r="M32" s="135"/>
    </row>
    <row r="33" spans="1:13" ht="4.5" customHeight="1" thickBot="1">
      <c r="A33" s="14"/>
      <c r="B33" s="28"/>
      <c r="C33" s="28"/>
      <c r="D33" s="28"/>
      <c r="E33" s="28"/>
      <c r="F33" s="28"/>
      <c r="G33" s="28"/>
      <c r="H33" s="28"/>
      <c r="I33" s="130"/>
      <c r="J33" s="130"/>
      <c r="K33" s="127"/>
      <c r="L33" s="127"/>
      <c r="M33" s="127"/>
    </row>
    <row r="34" spans="1:13" ht="36" customHeight="1">
      <c r="A34" s="14"/>
      <c r="B34" s="136" t="s">
        <v>305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</row>
    <row r="35" spans="1:13" ht="15">
      <c r="A35" s="14"/>
      <c r="B35" s="139" t="s">
        <v>18</v>
      </c>
      <c r="C35" s="140"/>
      <c r="D35" s="141" t="s">
        <v>19</v>
      </c>
      <c r="E35" s="141"/>
      <c r="F35" s="141" t="s">
        <v>20</v>
      </c>
      <c r="G35" s="141"/>
      <c r="H35" s="141"/>
      <c r="I35" s="140" t="s">
        <v>28</v>
      </c>
      <c r="J35" s="140"/>
      <c r="K35" s="140" t="s">
        <v>21</v>
      </c>
      <c r="L35" s="140"/>
      <c r="M35" s="142"/>
    </row>
    <row r="36" spans="1:13" ht="15.75" thickBot="1">
      <c r="A36" s="14"/>
      <c r="B36" s="131" t="s">
        <v>302</v>
      </c>
      <c r="C36" s="132"/>
      <c r="D36" s="132" t="s">
        <v>303</v>
      </c>
      <c r="E36" s="132"/>
      <c r="F36" s="132" t="s">
        <v>268</v>
      </c>
      <c r="G36" s="132"/>
      <c r="H36" s="132"/>
      <c r="I36" s="133">
        <v>10</v>
      </c>
      <c r="J36" s="133"/>
      <c r="K36" s="134">
        <v>155</v>
      </c>
      <c r="L36" s="134"/>
      <c r="M36" s="135"/>
    </row>
    <row r="37" spans="1:13" ht="15.75" thickBot="1">
      <c r="A37" s="14"/>
      <c r="B37" s="28"/>
      <c r="C37" s="28"/>
      <c r="D37" s="28"/>
      <c r="E37" s="28"/>
      <c r="F37" s="28"/>
      <c r="G37" s="28"/>
      <c r="H37" s="28"/>
      <c r="I37" s="130"/>
      <c r="J37" s="130"/>
      <c r="K37" s="127"/>
      <c r="L37" s="127"/>
      <c r="M37" s="127"/>
    </row>
    <row r="38" spans="1:13" ht="48.75" customHeight="1">
      <c r="A38" s="14"/>
      <c r="B38" s="398" t="s">
        <v>109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400"/>
    </row>
    <row r="39" spans="1:13" ht="15">
      <c r="A39" s="14"/>
      <c r="B39" s="139" t="s">
        <v>31</v>
      </c>
      <c r="C39" s="140"/>
      <c r="D39" s="140"/>
      <c r="E39" s="140"/>
      <c r="F39" s="140"/>
      <c r="G39" s="140"/>
      <c r="H39" s="141" t="s">
        <v>20</v>
      </c>
      <c r="I39" s="141"/>
      <c r="J39" s="141"/>
      <c r="K39" s="140" t="s">
        <v>21</v>
      </c>
      <c r="L39" s="140"/>
      <c r="M39" s="142"/>
    </row>
    <row r="40" spans="1:13" ht="15">
      <c r="A40" s="14"/>
      <c r="B40" s="177" t="s">
        <v>32</v>
      </c>
      <c r="C40" s="178"/>
      <c r="D40" s="178"/>
      <c r="E40" s="178"/>
      <c r="F40" s="178"/>
      <c r="G40" s="178"/>
      <c r="H40" s="152" t="s">
        <v>26</v>
      </c>
      <c r="I40" s="152"/>
      <c r="J40" s="152"/>
      <c r="K40" s="401">
        <v>40</v>
      </c>
      <c r="L40" s="401"/>
      <c r="M40" s="402"/>
    </row>
    <row r="41" spans="2:13" ht="15">
      <c r="B41" s="177" t="s">
        <v>219</v>
      </c>
      <c r="C41" s="178"/>
      <c r="D41" s="178"/>
      <c r="E41" s="178"/>
      <c r="F41" s="178"/>
      <c r="G41" s="178"/>
      <c r="H41" s="464" t="s">
        <v>26</v>
      </c>
      <c r="I41" s="465"/>
      <c r="J41" s="466"/>
      <c r="K41" s="165"/>
      <c r="L41" s="166"/>
      <c r="M41" s="167"/>
    </row>
    <row r="42" spans="2:13" ht="15" customHeight="1">
      <c r="B42" s="177" t="s">
        <v>219</v>
      </c>
      <c r="C42" s="178"/>
      <c r="D42" s="178"/>
      <c r="E42" s="178"/>
      <c r="F42" s="178"/>
      <c r="G42" s="178"/>
      <c r="H42" s="464" t="s">
        <v>107</v>
      </c>
      <c r="I42" s="465"/>
      <c r="J42" s="466"/>
      <c r="K42" s="472"/>
      <c r="L42" s="473"/>
      <c r="M42" s="474"/>
    </row>
    <row r="43" spans="2:13" ht="14.25" customHeight="1">
      <c r="B43" s="177" t="s">
        <v>220</v>
      </c>
      <c r="C43" s="178"/>
      <c r="D43" s="178"/>
      <c r="E43" s="178"/>
      <c r="F43" s="178"/>
      <c r="G43" s="178"/>
      <c r="H43" s="464" t="s">
        <v>26</v>
      </c>
      <c r="I43" s="465"/>
      <c r="J43" s="466"/>
      <c r="K43" s="472"/>
      <c r="L43" s="473"/>
      <c r="M43" s="474"/>
    </row>
    <row r="44" spans="2:14" ht="15">
      <c r="B44" s="177" t="s">
        <v>220</v>
      </c>
      <c r="C44" s="178"/>
      <c r="D44" s="178"/>
      <c r="E44" s="178"/>
      <c r="F44" s="178"/>
      <c r="G44" s="178"/>
      <c r="H44" s="464" t="s">
        <v>107</v>
      </c>
      <c r="I44" s="465"/>
      <c r="J44" s="466"/>
      <c r="K44" s="472"/>
      <c r="L44" s="473"/>
      <c r="M44" s="474"/>
      <c r="N44" s="45"/>
    </row>
    <row r="45" spans="2:14" ht="15">
      <c r="B45" s="177" t="s">
        <v>33</v>
      </c>
      <c r="C45" s="178"/>
      <c r="D45" s="178"/>
      <c r="E45" s="178"/>
      <c r="F45" s="178"/>
      <c r="G45" s="178"/>
      <c r="H45" s="152" t="s">
        <v>26</v>
      </c>
      <c r="I45" s="152"/>
      <c r="J45" s="152"/>
      <c r="K45" s="401">
        <v>20</v>
      </c>
      <c r="L45" s="401"/>
      <c r="M45" s="402"/>
      <c r="N45" s="45"/>
    </row>
    <row r="46" spans="2:14" s="53" customFormat="1" ht="15">
      <c r="B46" s="177" t="s">
        <v>34</v>
      </c>
      <c r="C46" s="178"/>
      <c r="D46" s="178"/>
      <c r="E46" s="178"/>
      <c r="F46" s="178"/>
      <c r="G46" s="178"/>
      <c r="H46" s="152" t="s">
        <v>26</v>
      </c>
      <c r="I46" s="152"/>
      <c r="J46" s="152"/>
      <c r="K46" s="401">
        <v>20</v>
      </c>
      <c r="L46" s="401"/>
      <c r="M46" s="402"/>
      <c r="N46" s="70"/>
    </row>
    <row r="47" spans="2:14" s="53" customFormat="1" ht="15">
      <c r="B47" s="177" t="s">
        <v>35</v>
      </c>
      <c r="C47" s="178"/>
      <c r="D47" s="178"/>
      <c r="E47" s="178"/>
      <c r="F47" s="178"/>
      <c r="G47" s="178"/>
      <c r="H47" s="152" t="s">
        <v>26</v>
      </c>
      <c r="I47" s="152"/>
      <c r="J47" s="152"/>
      <c r="K47" s="401">
        <v>35</v>
      </c>
      <c r="L47" s="401"/>
      <c r="M47" s="402"/>
      <c r="N47" s="70"/>
    </row>
    <row r="48" spans="2:14" s="53" customFormat="1" ht="15">
      <c r="B48" s="477" t="s">
        <v>307</v>
      </c>
      <c r="C48" s="478"/>
      <c r="D48" s="478"/>
      <c r="E48" s="478"/>
      <c r="F48" s="478"/>
      <c r="G48" s="478"/>
      <c r="H48" s="152" t="s">
        <v>26</v>
      </c>
      <c r="I48" s="152"/>
      <c r="J48" s="152"/>
      <c r="K48" s="479">
        <v>25</v>
      </c>
      <c r="L48" s="479"/>
      <c r="M48" s="480"/>
      <c r="N48" s="70"/>
    </row>
    <row r="49" spans="2:14" s="53" customFormat="1" ht="15">
      <c r="B49" s="477" t="s">
        <v>36</v>
      </c>
      <c r="C49" s="478"/>
      <c r="D49" s="478"/>
      <c r="E49" s="478"/>
      <c r="F49" s="478"/>
      <c r="G49" s="478"/>
      <c r="H49" s="174" t="s">
        <v>26</v>
      </c>
      <c r="I49" s="174"/>
      <c r="J49" s="174"/>
      <c r="K49" s="479">
        <v>20</v>
      </c>
      <c r="L49" s="479"/>
      <c r="M49" s="480"/>
      <c r="N49" s="70"/>
    </row>
    <row r="50" spans="2:14" s="53" customFormat="1" ht="15">
      <c r="B50" s="177" t="s">
        <v>110</v>
      </c>
      <c r="C50" s="178"/>
      <c r="D50" s="178"/>
      <c r="E50" s="178"/>
      <c r="F50" s="178"/>
      <c r="G50" s="178"/>
      <c r="H50" s="152" t="s">
        <v>26</v>
      </c>
      <c r="I50" s="152"/>
      <c r="J50" s="152"/>
      <c r="K50" s="401">
        <v>2700</v>
      </c>
      <c r="L50" s="401"/>
      <c r="M50" s="402"/>
      <c r="N50" s="70"/>
    </row>
    <row r="51" spans="2:14" s="53" customFormat="1" ht="15.75" thickBot="1">
      <c r="B51" s="357" t="s">
        <v>111</v>
      </c>
      <c r="C51" s="358"/>
      <c r="D51" s="358"/>
      <c r="E51" s="358"/>
      <c r="F51" s="358"/>
      <c r="G51" s="358"/>
      <c r="H51" s="132" t="s">
        <v>26</v>
      </c>
      <c r="I51" s="132"/>
      <c r="J51" s="132"/>
      <c r="K51" s="481">
        <v>3000</v>
      </c>
      <c r="L51" s="481"/>
      <c r="M51" s="482"/>
      <c r="N51" s="70"/>
    </row>
    <row r="52" spans="2:14" s="53" customFormat="1" ht="4.5" customHeight="1" thickBot="1">
      <c r="B52" s="15"/>
      <c r="C52" s="15"/>
      <c r="D52" s="15"/>
      <c r="E52" s="15"/>
      <c r="F52" s="15"/>
      <c r="G52" s="15"/>
      <c r="H52" s="16"/>
      <c r="I52" s="16"/>
      <c r="J52" s="16"/>
      <c r="K52" s="17"/>
      <c r="L52" s="17"/>
      <c r="M52" s="17"/>
      <c r="N52" s="70"/>
    </row>
    <row r="53" spans="2:14" s="53" customFormat="1" ht="34.5" customHeight="1">
      <c r="B53" s="398" t="s">
        <v>37</v>
      </c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400"/>
      <c r="N53" s="72"/>
    </row>
    <row r="54" spans="2:14" s="53" customFormat="1" ht="15" customHeight="1">
      <c r="B54" s="139" t="s">
        <v>1</v>
      </c>
      <c r="C54" s="140"/>
      <c r="D54" s="359" t="s">
        <v>120</v>
      </c>
      <c r="E54" s="359" t="s">
        <v>38</v>
      </c>
      <c r="F54" s="483"/>
      <c r="G54" s="140" t="s">
        <v>121</v>
      </c>
      <c r="H54" s="140"/>
      <c r="I54" s="383" t="s">
        <v>118</v>
      </c>
      <c r="J54" s="383"/>
      <c r="K54" s="383"/>
      <c r="L54" s="140" t="s">
        <v>102</v>
      </c>
      <c r="M54" s="142"/>
      <c r="N54" s="70"/>
    </row>
    <row r="55" spans="2:14" s="53" customFormat="1" ht="15" customHeight="1">
      <c r="B55" s="139"/>
      <c r="C55" s="140"/>
      <c r="D55" s="362"/>
      <c r="E55" s="362"/>
      <c r="F55" s="484"/>
      <c r="G55" s="140"/>
      <c r="H55" s="140"/>
      <c r="I55" s="383"/>
      <c r="J55" s="383"/>
      <c r="K55" s="383"/>
      <c r="L55" s="140"/>
      <c r="M55" s="142"/>
      <c r="N55" s="70"/>
    </row>
    <row r="56" spans="2:13" ht="15">
      <c r="B56" s="177" t="s">
        <v>39</v>
      </c>
      <c r="C56" s="178"/>
      <c r="D56" s="98">
        <v>6</v>
      </c>
      <c r="E56" s="405">
        <v>13000</v>
      </c>
      <c r="F56" s="406"/>
      <c r="G56" s="326">
        <f>E56*0.02*0.096*3*6</f>
        <v>449.28</v>
      </c>
      <c r="H56" s="326"/>
      <c r="I56" s="403">
        <v>1.584</v>
      </c>
      <c r="J56" s="403"/>
      <c r="K56" s="403"/>
      <c r="L56" s="326">
        <f>E56*0.02*96/88</f>
        <v>283.6363636363636</v>
      </c>
      <c r="M56" s="404"/>
    </row>
    <row r="57" spans="2:13" ht="15">
      <c r="B57" s="177" t="s">
        <v>40</v>
      </c>
      <c r="C57" s="178"/>
      <c r="D57" s="98">
        <v>6</v>
      </c>
      <c r="E57" s="405">
        <v>13000</v>
      </c>
      <c r="F57" s="406"/>
      <c r="G57" s="326">
        <f>E57*0.02*0.096*4*6</f>
        <v>599.04</v>
      </c>
      <c r="H57" s="326"/>
      <c r="I57" s="403">
        <v>2.112</v>
      </c>
      <c r="J57" s="403"/>
      <c r="K57" s="403"/>
      <c r="L57" s="326">
        <f>E57*0.02*96/88</f>
        <v>283.6363636363636</v>
      </c>
      <c r="M57" s="404"/>
    </row>
    <row r="58" spans="2:15" ht="15">
      <c r="B58" s="241" t="s">
        <v>237</v>
      </c>
      <c r="C58" s="242"/>
      <c r="D58" s="112">
        <v>4</v>
      </c>
      <c r="E58" s="405">
        <v>12500</v>
      </c>
      <c r="F58" s="406"/>
      <c r="G58" s="326">
        <f>E58*0.028*0.142*6*D58</f>
        <v>1192.8</v>
      </c>
      <c r="H58" s="326"/>
      <c r="I58" s="247">
        <v>3.24</v>
      </c>
      <c r="J58" s="248"/>
      <c r="K58" s="249"/>
      <c r="L58" s="326">
        <f>E58*0.028*142/135</f>
        <v>368.14814814814815</v>
      </c>
      <c r="M58" s="404"/>
      <c r="N58" s="19"/>
      <c r="O58" s="13"/>
    </row>
    <row r="59" spans="2:15" ht="15">
      <c r="B59" s="273" t="s">
        <v>163</v>
      </c>
      <c r="C59" s="274"/>
      <c r="D59" s="71">
        <v>3</v>
      </c>
      <c r="E59" s="243">
        <v>12000</v>
      </c>
      <c r="F59" s="244"/>
      <c r="G59" s="326">
        <f>E59*0.035*0.141*2.5*D59</f>
        <v>444.15000000000003</v>
      </c>
      <c r="H59" s="326"/>
      <c r="I59" s="407">
        <v>1.0125</v>
      </c>
      <c r="J59" s="407"/>
      <c r="K59" s="407"/>
      <c r="L59" s="245">
        <f>E59*0.035*141/135</f>
        <v>438.66666666666674</v>
      </c>
      <c r="M59" s="246"/>
      <c r="N59" s="19"/>
      <c r="O59" s="13"/>
    </row>
    <row r="60" spans="2:14" ht="15">
      <c r="B60" s="241" t="s">
        <v>238</v>
      </c>
      <c r="C60" s="242"/>
      <c r="D60" s="71">
        <v>3</v>
      </c>
      <c r="E60" s="243">
        <v>12000</v>
      </c>
      <c r="F60" s="244"/>
      <c r="G60" s="245">
        <f>E60*0.036*0.143*3*D60</f>
        <v>555.9839999999999</v>
      </c>
      <c r="H60" s="245"/>
      <c r="I60" s="247">
        <v>1.215</v>
      </c>
      <c r="J60" s="248"/>
      <c r="K60" s="249"/>
      <c r="L60" s="245">
        <f>E60*0.036*143/135</f>
        <v>457.59999999999997</v>
      </c>
      <c r="M60" s="246"/>
      <c r="N60" s="45"/>
    </row>
    <row r="61" spans="2:14" s="53" customFormat="1" ht="15">
      <c r="B61" s="241" t="s">
        <v>239</v>
      </c>
      <c r="C61" s="242"/>
      <c r="D61" s="71">
        <v>3</v>
      </c>
      <c r="E61" s="243">
        <v>12000</v>
      </c>
      <c r="F61" s="244"/>
      <c r="G61" s="245">
        <f>E61*0.036*0.143*5.8*D61</f>
        <v>1074.9023999999997</v>
      </c>
      <c r="H61" s="245"/>
      <c r="I61" s="247">
        <v>2.349</v>
      </c>
      <c r="J61" s="248"/>
      <c r="K61" s="249"/>
      <c r="L61" s="245">
        <f>E61*0.036*143/135</f>
        <v>457.59999999999997</v>
      </c>
      <c r="M61" s="246"/>
      <c r="N61" s="70"/>
    </row>
    <row r="62" spans="2:14" s="53" customFormat="1" ht="15">
      <c r="B62" s="241" t="s">
        <v>240</v>
      </c>
      <c r="C62" s="242"/>
      <c r="D62" s="71">
        <v>3</v>
      </c>
      <c r="E62" s="243">
        <v>12000</v>
      </c>
      <c r="F62" s="244"/>
      <c r="G62" s="245">
        <f>E62*0.036*0.143*6*D62</f>
        <v>1111.9679999999998</v>
      </c>
      <c r="H62" s="245"/>
      <c r="I62" s="247">
        <v>2.43</v>
      </c>
      <c r="J62" s="248"/>
      <c r="K62" s="249"/>
      <c r="L62" s="245">
        <f>E62*0.036*143/135</f>
        <v>457.59999999999997</v>
      </c>
      <c r="M62" s="246"/>
      <c r="N62" s="70"/>
    </row>
    <row r="63" spans="2:14" s="53" customFormat="1" ht="15">
      <c r="B63" s="241" t="s">
        <v>241</v>
      </c>
      <c r="C63" s="242"/>
      <c r="D63" s="71">
        <v>3</v>
      </c>
      <c r="E63" s="243">
        <v>12000</v>
      </c>
      <c r="F63" s="244"/>
      <c r="G63" s="245">
        <f>E63*0.036*0.142*6*D63</f>
        <v>1104.1919999999998</v>
      </c>
      <c r="H63" s="245"/>
      <c r="I63" s="247">
        <v>2.394</v>
      </c>
      <c r="J63" s="248"/>
      <c r="K63" s="249"/>
      <c r="L63" s="245">
        <f>E63*0.036*142/133</f>
        <v>461.2330827067669</v>
      </c>
      <c r="M63" s="246"/>
      <c r="N63" s="70"/>
    </row>
    <row r="64" spans="2:14" s="53" customFormat="1" ht="15">
      <c r="B64" s="273" t="s">
        <v>122</v>
      </c>
      <c r="C64" s="274"/>
      <c r="D64" s="71">
        <v>2</v>
      </c>
      <c r="E64" s="243">
        <v>12000</v>
      </c>
      <c r="F64" s="244"/>
      <c r="G64" s="245">
        <f>E64*0.036*0.17*5*D64</f>
        <v>734.4</v>
      </c>
      <c r="H64" s="245"/>
      <c r="I64" s="407">
        <v>1.6</v>
      </c>
      <c r="J64" s="407"/>
      <c r="K64" s="407"/>
      <c r="L64" s="245">
        <f>E64*0.036*170/160</f>
        <v>458.9999999999999</v>
      </c>
      <c r="M64" s="246"/>
      <c r="N64" s="70"/>
    </row>
    <row r="65" spans="1:13" s="68" customFormat="1" ht="14.25">
      <c r="A65" s="67"/>
      <c r="B65" s="273" t="s">
        <v>162</v>
      </c>
      <c r="C65" s="274"/>
      <c r="D65" s="71">
        <v>2</v>
      </c>
      <c r="E65" s="243">
        <v>12000</v>
      </c>
      <c r="F65" s="244"/>
      <c r="G65" s="245">
        <f>E65*0.036*0.17*5.8*D65</f>
        <v>851.904</v>
      </c>
      <c r="H65" s="245"/>
      <c r="I65" s="408">
        <v>1.856</v>
      </c>
      <c r="J65" s="409"/>
      <c r="K65" s="410"/>
      <c r="L65" s="245">
        <f>E65*0.036*170/160</f>
        <v>458.9999999999999</v>
      </c>
      <c r="M65" s="246"/>
    </row>
    <row r="66" spans="1:13" s="68" customFormat="1" ht="14.25">
      <c r="A66" s="67"/>
      <c r="B66" s="273" t="s">
        <v>114</v>
      </c>
      <c r="C66" s="274"/>
      <c r="D66" s="71">
        <v>2</v>
      </c>
      <c r="E66" s="243">
        <v>12000</v>
      </c>
      <c r="F66" s="244"/>
      <c r="G66" s="245">
        <f>E66*0.036*0.17*6*D66</f>
        <v>881.28</v>
      </c>
      <c r="H66" s="245"/>
      <c r="I66" s="407">
        <v>1.92</v>
      </c>
      <c r="J66" s="407"/>
      <c r="K66" s="407"/>
      <c r="L66" s="245">
        <f>E66*0.036*170/160</f>
        <v>458.9999999999999</v>
      </c>
      <c r="M66" s="246"/>
    </row>
    <row r="67" spans="1:13" s="68" customFormat="1" ht="14.25">
      <c r="A67" s="67"/>
      <c r="B67" s="273" t="s">
        <v>115</v>
      </c>
      <c r="C67" s="274"/>
      <c r="D67" s="71">
        <v>2</v>
      </c>
      <c r="E67" s="243">
        <v>12000</v>
      </c>
      <c r="F67" s="244"/>
      <c r="G67" s="245">
        <f>E67*0.036*0.19*5.8*D67</f>
        <v>952.1279999999998</v>
      </c>
      <c r="H67" s="245"/>
      <c r="I67" s="407">
        <v>2.088</v>
      </c>
      <c r="J67" s="407"/>
      <c r="K67" s="407"/>
      <c r="L67" s="245">
        <f>E67*0.036*190/180</f>
        <v>455.99999999999994</v>
      </c>
      <c r="M67" s="246"/>
    </row>
    <row r="68" spans="1:13" s="68" customFormat="1" ht="14.25">
      <c r="A68" s="67"/>
      <c r="B68" s="273" t="s">
        <v>116</v>
      </c>
      <c r="C68" s="274"/>
      <c r="D68" s="71">
        <v>2</v>
      </c>
      <c r="E68" s="243">
        <v>12000</v>
      </c>
      <c r="F68" s="244"/>
      <c r="G68" s="245">
        <f>E68*0.036*0.19*6*D68</f>
        <v>984.9599999999998</v>
      </c>
      <c r="H68" s="245"/>
      <c r="I68" s="407">
        <v>2.16</v>
      </c>
      <c r="J68" s="407"/>
      <c r="K68" s="407"/>
      <c r="L68" s="245">
        <f>E68*0.036*190/180</f>
        <v>455.99999999999994</v>
      </c>
      <c r="M68" s="246"/>
    </row>
    <row r="69" spans="2:13" s="53" customFormat="1" ht="15.75" thickBot="1">
      <c r="B69" s="357" t="s">
        <v>203</v>
      </c>
      <c r="C69" s="358"/>
      <c r="D69" s="64">
        <v>6</v>
      </c>
      <c r="E69" s="414">
        <v>7800</v>
      </c>
      <c r="F69" s="415"/>
      <c r="G69" s="411">
        <f>E69*0.02*0.096*3*6</f>
        <v>269.56800000000004</v>
      </c>
      <c r="H69" s="411"/>
      <c r="I69" s="412">
        <v>1.62</v>
      </c>
      <c r="J69" s="412"/>
      <c r="K69" s="412"/>
      <c r="L69" s="411">
        <f>E69*0.02*96/88</f>
        <v>170.1818181818182</v>
      </c>
      <c r="M69" s="413"/>
    </row>
    <row r="70" spans="2:13" s="70" customFormat="1" ht="3.75" customHeight="1" thickBot="1">
      <c r="B70" s="60"/>
      <c r="C70" s="60"/>
      <c r="D70" s="57"/>
      <c r="E70" s="57"/>
      <c r="F70" s="61"/>
      <c r="G70" s="62"/>
      <c r="H70" s="62"/>
      <c r="I70" s="63"/>
      <c r="J70" s="63"/>
      <c r="K70" s="63"/>
      <c r="L70" s="62"/>
      <c r="M70" s="62"/>
    </row>
    <row r="71" spans="1:13" s="68" customFormat="1" ht="39" customHeight="1">
      <c r="A71" s="67"/>
      <c r="B71" s="416" t="s">
        <v>41</v>
      </c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8"/>
    </row>
    <row r="72" spans="1:13" s="68" customFormat="1" ht="14.25">
      <c r="A72" s="67"/>
      <c r="B72" s="139" t="s">
        <v>1</v>
      </c>
      <c r="C72" s="140"/>
      <c r="D72" s="140" t="s">
        <v>120</v>
      </c>
      <c r="E72" s="140" t="s">
        <v>38</v>
      </c>
      <c r="F72" s="140"/>
      <c r="G72" s="140" t="s">
        <v>121</v>
      </c>
      <c r="H72" s="140"/>
      <c r="I72" s="383" t="s">
        <v>118</v>
      </c>
      <c r="J72" s="383"/>
      <c r="K72" s="383"/>
      <c r="L72" s="140" t="s">
        <v>123</v>
      </c>
      <c r="M72" s="142"/>
    </row>
    <row r="73" spans="1:13" s="68" customFormat="1" ht="14.25">
      <c r="A73" s="67"/>
      <c r="B73" s="139"/>
      <c r="C73" s="140"/>
      <c r="D73" s="140"/>
      <c r="E73" s="140"/>
      <c r="F73" s="140"/>
      <c r="G73" s="140"/>
      <c r="H73" s="140"/>
      <c r="I73" s="383"/>
      <c r="J73" s="383"/>
      <c r="K73" s="383"/>
      <c r="L73" s="140"/>
      <c r="M73" s="142"/>
    </row>
    <row r="74" spans="1:13" s="68" customFormat="1" ht="14.25">
      <c r="A74" s="67"/>
      <c r="B74" s="241" t="s">
        <v>279</v>
      </c>
      <c r="C74" s="242"/>
      <c r="D74" s="124">
        <v>5</v>
      </c>
      <c r="E74" s="427">
        <v>13500</v>
      </c>
      <c r="F74" s="428"/>
      <c r="G74" s="229">
        <f>E74*0.02*0.143*4*D74</f>
        <v>772.2</v>
      </c>
      <c r="H74" s="229"/>
      <c r="I74" s="457">
        <v>2.7</v>
      </c>
      <c r="J74" s="458"/>
      <c r="K74" s="459"/>
      <c r="L74" s="148">
        <f>E74*0.02*143/135</f>
        <v>286</v>
      </c>
      <c r="M74" s="149"/>
    </row>
    <row r="75" spans="2:14" s="53" customFormat="1" ht="15.75" thickBot="1">
      <c r="B75" s="450" t="s">
        <v>280</v>
      </c>
      <c r="C75" s="451"/>
      <c r="D75" s="125">
        <v>6</v>
      </c>
      <c r="E75" s="452">
        <v>13500</v>
      </c>
      <c r="F75" s="453"/>
      <c r="G75" s="306">
        <f>E75*0.018*0.142*6*D75</f>
        <v>1242.2159999999997</v>
      </c>
      <c r="H75" s="306"/>
      <c r="I75" s="454">
        <v>4.824</v>
      </c>
      <c r="J75" s="455"/>
      <c r="K75" s="456"/>
      <c r="L75" s="475">
        <f>E75*0.018*142/134</f>
        <v>257.5074626865671</v>
      </c>
      <c r="M75" s="476"/>
      <c r="N75" s="68"/>
    </row>
    <row r="76" spans="2:13" ht="15.75" thickBot="1">
      <c r="B76" s="21"/>
      <c r="C76" s="22"/>
      <c r="D76" s="23"/>
      <c r="E76" s="24"/>
      <c r="F76" s="25"/>
      <c r="G76" s="26"/>
      <c r="H76" s="13"/>
      <c r="I76" s="13"/>
      <c r="J76" s="13"/>
      <c r="K76" s="13"/>
      <c r="L76" s="13"/>
      <c r="M76" s="13"/>
    </row>
    <row r="77" spans="2:13" s="53" customFormat="1" ht="48.75" customHeight="1">
      <c r="B77" s="398" t="s">
        <v>42</v>
      </c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400"/>
    </row>
    <row r="78" spans="2:13" s="53" customFormat="1" ht="15">
      <c r="B78" s="139" t="s">
        <v>1</v>
      </c>
      <c r="C78" s="140"/>
      <c r="D78" s="140" t="s">
        <v>120</v>
      </c>
      <c r="E78" s="140" t="s">
        <v>38</v>
      </c>
      <c r="F78" s="140"/>
      <c r="G78" s="140" t="s">
        <v>121</v>
      </c>
      <c r="H78" s="140"/>
      <c r="I78" s="383" t="s">
        <v>118</v>
      </c>
      <c r="J78" s="383"/>
      <c r="K78" s="383"/>
      <c r="L78" s="140" t="s">
        <v>102</v>
      </c>
      <c r="M78" s="142"/>
    </row>
    <row r="79" spans="2:13" s="53" customFormat="1" ht="15">
      <c r="B79" s="139"/>
      <c r="C79" s="140"/>
      <c r="D79" s="140"/>
      <c r="E79" s="140"/>
      <c r="F79" s="140"/>
      <c r="G79" s="140"/>
      <c r="H79" s="140"/>
      <c r="I79" s="383"/>
      <c r="J79" s="383"/>
      <c r="K79" s="383"/>
      <c r="L79" s="140"/>
      <c r="M79" s="142"/>
    </row>
    <row r="80" spans="2:13" s="53" customFormat="1" ht="15">
      <c r="B80" s="273" t="s">
        <v>124</v>
      </c>
      <c r="C80" s="274"/>
      <c r="D80" s="65">
        <v>6</v>
      </c>
      <c r="E80" s="424">
        <v>13000</v>
      </c>
      <c r="F80" s="424"/>
      <c r="G80" s="245">
        <f>E80*0.02*0.096*3*D80</f>
        <v>449.28</v>
      </c>
      <c r="H80" s="245"/>
      <c r="I80" s="423">
        <v>1.62</v>
      </c>
      <c r="J80" s="423"/>
      <c r="K80" s="423"/>
      <c r="L80" s="245">
        <f>E80*0.02*96/90</f>
        <v>277.3333333333333</v>
      </c>
      <c r="M80" s="246"/>
    </row>
    <row r="81" spans="2:13" s="53" customFormat="1" ht="15">
      <c r="B81" s="273" t="s">
        <v>236</v>
      </c>
      <c r="C81" s="274"/>
      <c r="D81" s="48">
        <v>4</v>
      </c>
      <c r="E81" s="243">
        <v>12000</v>
      </c>
      <c r="F81" s="244"/>
      <c r="G81" s="326">
        <f>E81*0.035*0.096*6*D81</f>
        <v>967.6800000000002</v>
      </c>
      <c r="H81" s="326"/>
      <c r="I81" s="331">
        <v>2.16</v>
      </c>
      <c r="J81" s="332"/>
      <c r="K81" s="333"/>
      <c r="L81" s="326">
        <f>E81*0.035*96/90</f>
        <v>448.00000000000006</v>
      </c>
      <c r="M81" s="404"/>
    </row>
    <row r="82" spans="2:13" s="53" customFormat="1" ht="15">
      <c r="B82" s="419" t="s">
        <v>108</v>
      </c>
      <c r="C82" s="420"/>
      <c r="D82" s="48">
        <v>3</v>
      </c>
      <c r="E82" s="243">
        <v>12000</v>
      </c>
      <c r="F82" s="244"/>
      <c r="G82" s="229">
        <f>E82*0.035*0.121*6*D82</f>
        <v>914.7600000000002</v>
      </c>
      <c r="H82" s="229"/>
      <c r="I82" s="331">
        <v>2.07</v>
      </c>
      <c r="J82" s="332"/>
      <c r="K82" s="333"/>
      <c r="L82" s="236">
        <f>E82*0.035*121/115</f>
        <v>441.91304347826093</v>
      </c>
      <c r="M82" s="324"/>
    </row>
    <row r="83" spans="2:13" s="53" customFormat="1" ht="15" customHeight="1">
      <c r="B83" s="273" t="s">
        <v>284</v>
      </c>
      <c r="C83" s="274"/>
      <c r="D83" s="48">
        <v>3</v>
      </c>
      <c r="E83" s="243">
        <v>12000</v>
      </c>
      <c r="F83" s="244"/>
      <c r="G83" s="326">
        <f>E83*0.035*0.141*3*D83</f>
        <v>532.98</v>
      </c>
      <c r="H83" s="326"/>
      <c r="I83" s="331">
        <v>1.215</v>
      </c>
      <c r="J83" s="332"/>
      <c r="K83" s="333"/>
      <c r="L83" s="236">
        <f>E83*0.035*141/135</f>
        <v>438.66666666666674</v>
      </c>
      <c r="M83" s="324"/>
    </row>
    <row r="84" spans="2:13" s="53" customFormat="1" ht="15" customHeight="1">
      <c r="B84" s="273" t="s">
        <v>285</v>
      </c>
      <c r="C84" s="274"/>
      <c r="D84" s="48">
        <v>3</v>
      </c>
      <c r="E84" s="243">
        <v>12000</v>
      </c>
      <c r="F84" s="244"/>
      <c r="G84" s="326">
        <f>E84*0.035*0.141*4*D84</f>
        <v>710.64</v>
      </c>
      <c r="H84" s="326"/>
      <c r="I84" s="331">
        <v>1.62</v>
      </c>
      <c r="J84" s="332"/>
      <c r="K84" s="333"/>
      <c r="L84" s="236">
        <f>E84*0.035*141/135</f>
        <v>438.66666666666674</v>
      </c>
      <c r="M84" s="324"/>
    </row>
    <row r="85" spans="2:13" s="53" customFormat="1" ht="15">
      <c r="B85" s="273" t="s">
        <v>286</v>
      </c>
      <c r="C85" s="274"/>
      <c r="D85" s="48">
        <v>3</v>
      </c>
      <c r="E85" s="243">
        <v>12000</v>
      </c>
      <c r="F85" s="244"/>
      <c r="G85" s="326">
        <f>E85*0.035*0.141*5*D85</f>
        <v>888.3000000000001</v>
      </c>
      <c r="H85" s="326"/>
      <c r="I85" s="331">
        <v>2.025</v>
      </c>
      <c r="J85" s="332"/>
      <c r="K85" s="333"/>
      <c r="L85" s="236">
        <f>E85*0.035*141/135</f>
        <v>438.66666666666674</v>
      </c>
      <c r="M85" s="324"/>
    </row>
    <row r="86" spans="2:13" s="53" customFormat="1" ht="15">
      <c r="B86" s="273" t="s">
        <v>205</v>
      </c>
      <c r="C86" s="274"/>
      <c r="D86" s="48">
        <v>3</v>
      </c>
      <c r="E86" s="243">
        <v>12000</v>
      </c>
      <c r="F86" s="244"/>
      <c r="G86" s="326">
        <f>E86*0.035*0.141*6*D86</f>
        <v>1065.96</v>
      </c>
      <c r="H86" s="326"/>
      <c r="I86" s="331">
        <v>2.43</v>
      </c>
      <c r="J86" s="332"/>
      <c r="K86" s="333"/>
      <c r="L86" s="236">
        <f>E86*0.035*141/135</f>
        <v>438.66666666666674</v>
      </c>
      <c r="M86" s="324"/>
    </row>
    <row r="87" spans="2:13" s="53" customFormat="1" ht="15">
      <c r="B87" s="241" t="s">
        <v>206</v>
      </c>
      <c r="C87" s="242"/>
      <c r="D87" s="56">
        <v>3</v>
      </c>
      <c r="E87" s="322">
        <v>13000</v>
      </c>
      <c r="F87" s="323"/>
      <c r="G87" s="326">
        <f>E87*0.041*0.096*3*D87</f>
        <v>460.51199999999994</v>
      </c>
      <c r="H87" s="326"/>
      <c r="I87" s="331">
        <v>0.792</v>
      </c>
      <c r="J87" s="332"/>
      <c r="K87" s="333"/>
      <c r="L87" s="326">
        <f>E87*0.041*96/88</f>
        <v>581.4545454545455</v>
      </c>
      <c r="M87" s="404"/>
    </row>
    <row r="88" spans="2:13" s="53" customFormat="1" ht="15">
      <c r="B88" s="241" t="s">
        <v>207</v>
      </c>
      <c r="C88" s="242"/>
      <c r="D88" s="56">
        <v>3</v>
      </c>
      <c r="E88" s="322">
        <v>13000</v>
      </c>
      <c r="F88" s="323"/>
      <c r="G88" s="326">
        <f>E88*0.041*0.096*6*D88</f>
        <v>921.0239999999999</v>
      </c>
      <c r="H88" s="326"/>
      <c r="I88" s="331">
        <v>1.584</v>
      </c>
      <c r="J88" s="332"/>
      <c r="K88" s="333"/>
      <c r="L88" s="326">
        <f>E88*0.041*96/88</f>
        <v>581.4545454545455</v>
      </c>
      <c r="M88" s="404"/>
    </row>
    <row r="89" spans="2:13" s="53" customFormat="1" ht="15">
      <c r="B89" s="273" t="s">
        <v>231</v>
      </c>
      <c r="C89" s="274"/>
      <c r="D89" s="56">
        <v>2</v>
      </c>
      <c r="E89" s="322">
        <v>13000</v>
      </c>
      <c r="F89" s="323"/>
      <c r="G89" s="229">
        <f>E89*0.041*0.121*3*D89</f>
        <v>386.95799999999997</v>
      </c>
      <c r="H89" s="229"/>
      <c r="I89" s="331">
        <v>0.678</v>
      </c>
      <c r="J89" s="332"/>
      <c r="K89" s="333"/>
      <c r="L89" s="229">
        <f>E89*0.041*121/113</f>
        <v>570.7345132743363</v>
      </c>
      <c r="M89" s="319"/>
    </row>
    <row r="90" spans="2:13" s="53" customFormat="1" ht="15">
      <c r="B90" s="273" t="s">
        <v>125</v>
      </c>
      <c r="C90" s="274"/>
      <c r="D90" s="48">
        <v>2</v>
      </c>
      <c r="E90" s="318">
        <v>13000</v>
      </c>
      <c r="F90" s="318"/>
      <c r="G90" s="229">
        <f>E90*0.041*0.121*6*D90</f>
        <v>773.9159999999999</v>
      </c>
      <c r="H90" s="229"/>
      <c r="I90" s="425">
        <v>1.356</v>
      </c>
      <c r="J90" s="425"/>
      <c r="K90" s="425"/>
      <c r="L90" s="229">
        <f>E90*0.041*121/113</f>
        <v>570.7345132743363</v>
      </c>
      <c r="M90" s="319"/>
    </row>
    <row r="91" spans="2:19" s="53" customFormat="1" ht="15">
      <c r="B91" s="273" t="s">
        <v>232</v>
      </c>
      <c r="C91" s="274"/>
      <c r="D91" s="48">
        <v>2</v>
      </c>
      <c r="E91" s="322">
        <v>13000</v>
      </c>
      <c r="F91" s="323"/>
      <c r="G91" s="229">
        <f>E91*0.041*0.146*3*D91</f>
        <v>466.908</v>
      </c>
      <c r="H91" s="229"/>
      <c r="I91" s="331">
        <v>0.828</v>
      </c>
      <c r="J91" s="332"/>
      <c r="K91" s="333"/>
      <c r="L91" s="229">
        <f>E91*0.041*146/138</f>
        <v>563.8985507246376</v>
      </c>
      <c r="M91" s="319"/>
      <c r="P91"/>
      <c r="S91"/>
    </row>
    <row r="92" spans="2:15" s="53" customFormat="1" ht="15">
      <c r="B92" s="273" t="s">
        <v>126</v>
      </c>
      <c r="C92" s="274"/>
      <c r="D92" s="48">
        <v>2</v>
      </c>
      <c r="E92" s="318">
        <v>13000</v>
      </c>
      <c r="F92" s="318"/>
      <c r="G92" s="229">
        <f>E92*0.041*0.146*6*D92</f>
        <v>933.816</v>
      </c>
      <c r="H92" s="229"/>
      <c r="I92" s="425">
        <v>1.656</v>
      </c>
      <c r="J92" s="425"/>
      <c r="K92" s="425"/>
      <c r="L92" s="229">
        <f>E92*0.041*146/138</f>
        <v>563.8985507246376</v>
      </c>
      <c r="M92" s="319"/>
      <c r="N92" s="70"/>
      <c r="O92" s="70"/>
    </row>
    <row r="93" spans="2:15" s="53" customFormat="1" ht="15">
      <c r="B93" s="273" t="s">
        <v>127</v>
      </c>
      <c r="C93" s="274"/>
      <c r="D93" s="65">
        <v>6</v>
      </c>
      <c r="E93" s="424">
        <v>7800</v>
      </c>
      <c r="F93" s="424"/>
      <c r="G93" s="245">
        <f>E93*0.02*0.096*3*D93</f>
        <v>269.56800000000004</v>
      </c>
      <c r="H93" s="245"/>
      <c r="I93" s="423">
        <v>1.62</v>
      </c>
      <c r="J93" s="423"/>
      <c r="K93" s="423"/>
      <c r="L93" s="245">
        <f>E93*0.02*96/90</f>
        <v>166.4</v>
      </c>
      <c r="M93" s="246"/>
      <c r="N93" s="70"/>
      <c r="O93" s="70"/>
    </row>
    <row r="94" spans="2:13" s="53" customFormat="1" ht="15" customHeight="1">
      <c r="B94" s="273" t="s">
        <v>128</v>
      </c>
      <c r="C94" s="274"/>
      <c r="D94" s="65">
        <v>2</v>
      </c>
      <c r="E94" s="424">
        <v>7800</v>
      </c>
      <c r="F94" s="424"/>
      <c r="G94" s="229">
        <f>E94*0.041*0.121*6*D94</f>
        <v>464.3496</v>
      </c>
      <c r="H94" s="229"/>
      <c r="I94" s="423">
        <v>1.356</v>
      </c>
      <c r="J94" s="423"/>
      <c r="K94" s="423"/>
      <c r="L94" s="229">
        <f>E94*0.041*121/113</f>
        <v>342.4407079646018</v>
      </c>
      <c r="M94" s="319"/>
    </row>
    <row r="95" spans="2:13" s="53" customFormat="1" ht="15.75" thickBot="1">
      <c r="B95" s="289" t="s">
        <v>129</v>
      </c>
      <c r="C95" s="290"/>
      <c r="D95" s="66">
        <v>2</v>
      </c>
      <c r="E95" s="489">
        <v>7800</v>
      </c>
      <c r="F95" s="489"/>
      <c r="G95" s="225">
        <f>E95*0.041*0.146*6*D95</f>
        <v>560.2896</v>
      </c>
      <c r="H95" s="225"/>
      <c r="I95" s="460">
        <v>1.656</v>
      </c>
      <c r="J95" s="460"/>
      <c r="K95" s="460"/>
      <c r="L95" s="225">
        <f>E95*0.041*146/138</f>
        <v>338.33913043478265</v>
      </c>
      <c r="M95" s="309"/>
    </row>
    <row r="96" spans="2:13" s="53" customFormat="1" ht="16.5" customHeight="1" thickBot="1">
      <c r="B96" s="27"/>
      <c r="C96" s="27"/>
      <c r="D96" s="28"/>
      <c r="E96" s="29"/>
      <c r="F96" s="29"/>
      <c r="G96" s="30"/>
      <c r="H96" s="30"/>
      <c r="I96" s="30"/>
      <c r="J96" s="30"/>
      <c r="K96" s="30"/>
      <c r="L96" s="30"/>
      <c r="M96" s="30"/>
    </row>
    <row r="97" spans="2:13" s="53" customFormat="1" ht="45" customHeight="1">
      <c r="B97" s="461" t="s">
        <v>43</v>
      </c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3"/>
    </row>
    <row r="98" spans="2:13" s="53" customFormat="1" ht="15">
      <c r="B98" s="327" t="s">
        <v>31</v>
      </c>
      <c r="C98" s="318"/>
      <c r="D98" s="318" t="s">
        <v>190</v>
      </c>
      <c r="E98" s="318"/>
      <c r="F98" s="318" t="s">
        <v>191</v>
      </c>
      <c r="G98" s="318"/>
      <c r="H98" s="318" t="s">
        <v>44</v>
      </c>
      <c r="I98" s="318"/>
      <c r="J98" s="318"/>
      <c r="K98" s="318" t="s">
        <v>45</v>
      </c>
      <c r="L98" s="318"/>
      <c r="M98" s="325"/>
    </row>
    <row r="99" spans="2:13" s="53" customFormat="1" ht="15">
      <c r="B99" s="232" t="s">
        <v>130</v>
      </c>
      <c r="C99" s="233"/>
      <c r="D99" s="485">
        <v>2.2</v>
      </c>
      <c r="E99" s="486"/>
      <c r="F99" s="318">
        <v>10</v>
      </c>
      <c r="G99" s="318"/>
      <c r="H99" s="229">
        <f aca="true" t="shared" si="3" ref="H99:H121">K99/2.2</f>
        <v>23.295454545454543</v>
      </c>
      <c r="I99" s="229"/>
      <c r="J99" s="229"/>
      <c r="K99" s="229">
        <v>51.25</v>
      </c>
      <c r="L99" s="229"/>
      <c r="M99" s="319"/>
    </row>
    <row r="100" spans="2:13" s="53" customFormat="1" ht="15">
      <c r="B100" s="232" t="s">
        <v>139</v>
      </c>
      <c r="C100" s="233"/>
      <c r="D100" s="487"/>
      <c r="E100" s="488"/>
      <c r="F100" s="322">
        <v>10</v>
      </c>
      <c r="G100" s="323"/>
      <c r="H100" s="229">
        <f>K100/2.2</f>
        <v>23.295454545454543</v>
      </c>
      <c r="I100" s="229"/>
      <c r="J100" s="229"/>
      <c r="K100" s="236">
        <v>51.25</v>
      </c>
      <c r="L100" s="237"/>
      <c r="M100" s="324"/>
    </row>
    <row r="101" spans="2:18" s="53" customFormat="1" ht="15" customHeight="1">
      <c r="B101" s="232" t="s">
        <v>222</v>
      </c>
      <c r="C101" s="233"/>
      <c r="D101" s="487"/>
      <c r="E101" s="488"/>
      <c r="F101" s="322">
        <v>10</v>
      </c>
      <c r="G101" s="323"/>
      <c r="H101" s="229">
        <f>K101/2.2</f>
        <v>25.568181818181817</v>
      </c>
      <c r="I101" s="229"/>
      <c r="J101" s="229"/>
      <c r="K101" s="236">
        <v>56.25</v>
      </c>
      <c r="L101" s="237"/>
      <c r="M101" s="324"/>
      <c r="Q101"/>
      <c r="R101"/>
    </row>
    <row r="102" spans="2:13" s="53" customFormat="1" ht="15" customHeight="1">
      <c r="B102" s="232" t="s">
        <v>221</v>
      </c>
      <c r="C102" s="233"/>
      <c r="D102" s="487"/>
      <c r="E102" s="488"/>
      <c r="F102" s="322">
        <v>10</v>
      </c>
      <c r="G102" s="323"/>
      <c r="H102" s="229">
        <f>K102/2.2</f>
        <v>26.136363636363633</v>
      </c>
      <c r="I102" s="229"/>
      <c r="J102" s="229"/>
      <c r="K102" s="236">
        <v>57.5</v>
      </c>
      <c r="L102" s="237"/>
      <c r="M102" s="324"/>
    </row>
    <row r="103" spans="2:13" s="53" customFormat="1" ht="15" customHeight="1">
      <c r="B103" s="232" t="s">
        <v>131</v>
      </c>
      <c r="C103" s="233"/>
      <c r="D103" s="487"/>
      <c r="E103" s="488"/>
      <c r="F103" s="318">
        <v>10</v>
      </c>
      <c r="G103" s="318"/>
      <c r="H103" s="229">
        <f t="shared" si="3"/>
        <v>26.136363636363633</v>
      </c>
      <c r="I103" s="229"/>
      <c r="J103" s="229"/>
      <c r="K103" s="229">
        <v>57.5</v>
      </c>
      <c r="L103" s="229"/>
      <c r="M103" s="319"/>
    </row>
    <row r="104" spans="2:13" s="53" customFormat="1" ht="15" customHeight="1">
      <c r="B104" s="232" t="s">
        <v>132</v>
      </c>
      <c r="C104" s="233"/>
      <c r="D104" s="487"/>
      <c r="E104" s="488"/>
      <c r="F104" s="318">
        <v>10</v>
      </c>
      <c r="G104" s="318"/>
      <c r="H104" s="229">
        <f t="shared" si="3"/>
        <v>26.136363636363633</v>
      </c>
      <c r="I104" s="229"/>
      <c r="J104" s="229"/>
      <c r="K104" s="229">
        <v>57.5</v>
      </c>
      <c r="L104" s="229"/>
      <c r="M104" s="319"/>
    </row>
    <row r="105" spans="2:13" s="53" customFormat="1" ht="15">
      <c r="B105" s="232" t="s">
        <v>138</v>
      </c>
      <c r="C105" s="233"/>
      <c r="D105" s="487"/>
      <c r="E105" s="488"/>
      <c r="F105" s="322">
        <v>10</v>
      </c>
      <c r="G105" s="323"/>
      <c r="H105" s="229">
        <f>K105/2.2</f>
        <v>26.136363636363633</v>
      </c>
      <c r="I105" s="229"/>
      <c r="J105" s="229"/>
      <c r="K105" s="236">
        <v>57.5</v>
      </c>
      <c r="L105" s="237"/>
      <c r="M105" s="324"/>
    </row>
    <row r="106" spans="2:13" s="53" customFormat="1" ht="15" customHeight="1">
      <c r="B106" s="232" t="s">
        <v>133</v>
      </c>
      <c r="C106" s="233"/>
      <c r="D106" s="487"/>
      <c r="E106" s="488"/>
      <c r="F106" s="318">
        <v>10</v>
      </c>
      <c r="G106" s="318"/>
      <c r="H106" s="229">
        <f t="shared" si="3"/>
        <v>30.399999999999995</v>
      </c>
      <c r="I106" s="229"/>
      <c r="J106" s="229"/>
      <c r="K106" s="229">
        <v>66.88</v>
      </c>
      <c r="L106" s="229"/>
      <c r="M106" s="319"/>
    </row>
    <row r="107" spans="2:13" s="53" customFormat="1" ht="15" customHeight="1">
      <c r="B107" s="232" t="s">
        <v>134</v>
      </c>
      <c r="C107" s="233"/>
      <c r="D107" s="487"/>
      <c r="E107" s="488"/>
      <c r="F107" s="318">
        <v>10</v>
      </c>
      <c r="G107" s="318"/>
      <c r="H107" s="229">
        <f t="shared" si="3"/>
        <v>30.399999999999995</v>
      </c>
      <c r="I107" s="229"/>
      <c r="J107" s="229"/>
      <c r="K107" s="229">
        <v>66.88</v>
      </c>
      <c r="L107" s="229"/>
      <c r="M107" s="319"/>
    </row>
    <row r="108" spans="2:18" s="53" customFormat="1" ht="15">
      <c r="B108" s="232" t="s">
        <v>135</v>
      </c>
      <c r="C108" s="233"/>
      <c r="D108" s="487"/>
      <c r="E108" s="488"/>
      <c r="F108" s="318">
        <v>10</v>
      </c>
      <c r="G108" s="318"/>
      <c r="H108" s="229">
        <f t="shared" si="3"/>
        <v>34.090909090909086</v>
      </c>
      <c r="I108" s="229"/>
      <c r="J108" s="229"/>
      <c r="K108" s="229">
        <v>75</v>
      </c>
      <c r="L108" s="229"/>
      <c r="M108" s="319"/>
      <c r="Q108"/>
      <c r="R108"/>
    </row>
    <row r="109" spans="2:13" s="53" customFormat="1" ht="15">
      <c r="B109" s="232" t="s">
        <v>136</v>
      </c>
      <c r="C109" s="233"/>
      <c r="D109" s="487"/>
      <c r="E109" s="488"/>
      <c r="F109" s="318">
        <v>10</v>
      </c>
      <c r="G109" s="318"/>
      <c r="H109" s="229">
        <f t="shared" si="3"/>
        <v>34.090909090909086</v>
      </c>
      <c r="I109" s="229"/>
      <c r="J109" s="229"/>
      <c r="K109" s="229">
        <v>75</v>
      </c>
      <c r="L109" s="229"/>
      <c r="M109" s="319"/>
    </row>
    <row r="110" spans="2:13" s="53" customFormat="1" ht="15">
      <c r="B110" s="232" t="s">
        <v>137</v>
      </c>
      <c r="C110" s="233"/>
      <c r="D110" s="487"/>
      <c r="E110" s="488"/>
      <c r="F110" s="322">
        <v>10</v>
      </c>
      <c r="G110" s="323"/>
      <c r="H110" s="236">
        <f>K110/2.2</f>
        <v>37.5</v>
      </c>
      <c r="I110" s="237"/>
      <c r="J110" s="238"/>
      <c r="K110" s="236">
        <v>82.5</v>
      </c>
      <c r="L110" s="237"/>
      <c r="M110" s="324"/>
    </row>
    <row r="111" spans="2:13" s="53" customFormat="1" ht="15">
      <c r="B111" s="320" t="s">
        <v>46</v>
      </c>
      <c r="C111" s="321"/>
      <c r="D111" s="487"/>
      <c r="E111" s="488"/>
      <c r="F111" s="318">
        <v>10</v>
      </c>
      <c r="G111" s="318"/>
      <c r="H111" s="229">
        <v>19.05</v>
      </c>
      <c r="I111" s="229"/>
      <c r="J111" s="229"/>
      <c r="K111" s="229">
        <v>43.31</v>
      </c>
      <c r="L111" s="229"/>
      <c r="M111" s="319"/>
    </row>
    <row r="112" spans="2:13" s="53" customFormat="1" ht="15">
      <c r="B112" s="232" t="s">
        <v>47</v>
      </c>
      <c r="C112" s="233"/>
      <c r="D112" s="487"/>
      <c r="E112" s="488"/>
      <c r="F112" s="318">
        <v>10</v>
      </c>
      <c r="G112" s="318"/>
      <c r="H112" s="229">
        <f t="shared" si="3"/>
        <v>20.96818181818182</v>
      </c>
      <c r="I112" s="229"/>
      <c r="J112" s="229"/>
      <c r="K112" s="229">
        <v>46.13</v>
      </c>
      <c r="L112" s="229"/>
      <c r="M112" s="319"/>
    </row>
    <row r="113" spans="2:13" s="53" customFormat="1" ht="15">
      <c r="B113" s="232" t="s">
        <v>48</v>
      </c>
      <c r="C113" s="233"/>
      <c r="D113" s="487"/>
      <c r="E113" s="488"/>
      <c r="F113" s="318">
        <v>10</v>
      </c>
      <c r="G113" s="318"/>
      <c r="H113" s="229">
        <f t="shared" si="3"/>
        <v>20.96818181818182</v>
      </c>
      <c r="I113" s="229"/>
      <c r="J113" s="229"/>
      <c r="K113" s="229">
        <v>46.13</v>
      </c>
      <c r="L113" s="229"/>
      <c r="M113" s="319"/>
    </row>
    <row r="114" spans="2:13" s="53" customFormat="1" ht="15">
      <c r="B114" s="232" t="s">
        <v>49</v>
      </c>
      <c r="C114" s="233"/>
      <c r="D114" s="487"/>
      <c r="E114" s="488"/>
      <c r="F114" s="318">
        <v>10</v>
      </c>
      <c r="G114" s="318"/>
      <c r="H114" s="229">
        <f t="shared" si="3"/>
        <v>23.52272727272727</v>
      </c>
      <c r="I114" s="229"/>
      <c r="J114" s="229"/>
      <c r="K114" s="229">
        <v>51.75</v>
      </c>
      <c r="L114" s="229"/>
      <c r="M114" s="319"/>
    </row>
    <row r="115" spans="2:13" s="53" customFormat="1" ht="15">
      <c r="B115" s="232" t="s">
        <v>50</v>
      </c>
      <c r="C115" s="233"/>
      <c r="D115" s="487"/>
      <c r="E115" s="488"/>
      <c r="F115" s="318">
        <v>10</v>
      </c>
      <c r="G115" s="318"/>
      <c r="H115" s="229">
        <f t="shared" si="3"/>
        <v>23.52272727272727</v>
      </c>
      <c r="I115" s="229"/>
      <c r="J115" s="229"/>
      <c r="K115" s="229">
        <v>51.75</v>
      </c>
      <c r="L115" s="229"/>
      <c r="M115" s="319"/>
    </row>
    <row r="116" spans="2:13" s="53" customFormat="1" ht="15">
      <c r="B116" s="232" t="s">
        <v>51</v>
      </c>
      <c r="C116" s="233"/>
      <c r="D116" s="487"/>
      <c r="E116" s="488"/>
      <c r="F116" s="318">
        <v>10</v>
      </c>
      <c r="G116" s="318"/>
      <c r="H116" s="229">
        <f t="shared" si="3"/>
        <v>23.52272727272727</v>
      </c>
      <c r="I116" s="229"/>
      <c r="J116" s="229"/>
      <c r="K116" s="229">
        <v>51.75</v>
      </c>
      <c r="L116" s="229"/>
      <c r="M116" s="319"/>
    </row>
    <row r="117" spans="2:13" s="53" customFormat="1" ht="15">
      <c r="B117" s="232" t="s">
        <v>52</v>
      </c>
      <c r="C117" s="233"/>
      <c r="D117" s="487"/>
      <c r="E117" s="488"/>
      <c r="F117" s="318">
        <v>10</v>
      </c>
      <c r="G117" s="318"/>
      <c r="H117" s="229">
        <f t="shared" si="3"/>
        <v>27.359090909090906</v>
      </c>
      <c r="I117" s="229"/>
      <c r="J117" s="229"/>
      <c r="K117" s="229">
        <v>60.19</v>
      </c>
      <c r="L117" s="229"/>
      <c r="M117" s="319"/>
    </row>
    <row r="118" spans="2:13" s="53" customFormat="1" ht="15">
      <c r="B118" s="232" t="s">
        <v>53</v>
      </c>
      <c r="C118" s="233"/>
      <c r="D118" s="487"/>
      <c r="E118" s="488"/>
      <c r="F118" s="318">
        <v>10</v>
      </c>
      <c r="G118" s="318"/>
      <c r="H118" s="229">
        <f t="shared" si="3"/>
        <v>27.359090909090906</v>
      </c>
      <c r="I118" s="229"/>
      <c r="J118" s="229"/>
      <c r="K118" s="229">
        <v>60.19</v>
      </c>
      <c r="L118" s="229"/>
      <c r="M118" s="319"/>
    </row>
    <row r="119" spans="2:13" s="53" customFormat="1" ht="15">
      <c r="B119" s="232" t="s">
        <v>54</v>
      </c>
      <c r="C119" s="233"/>
      <c r="D119" s="487"/>
      <c r="E119" s="488"/>
      <c r="F119" s="318">
        <v>10</v>
      </c>
      <c r="G119" s="318"/>
      <c r="H119" s="229">
        <f t="shared" si="3"/>
        <v>30.68181818181818</v>
      </c>
      <c r="I119" s="229"/>
      <c r="J119" s="229"/>
      <c r="K119" s="229">
        <v>67.5</v>
      </c>
      <c r="L119" s="229"/>
      <c r="M119" s="319"/>
    </row>
    <row r="120" spans="2:13" s="53" customFormat="1" ht="15">
      <c r="B120" s="232" t="s">
        <v>55</v>
      </c>
      <c r="C120" s="233"/>
      <c r="D120" s="487"/>
      <c r="E120" s="488"/>
      <c r="F120" s="318">
        <v>10</v>
      </c>
      <c r="G120" s="318"/>
      <c r="H120" s="229">
        <f t="shared" si="3"/>
        <v>30.68181818181818</v>
      </c>
      <c r="I120" s="229"/>
      <c r="J120" s="229"/>
      <c r="K120" s="229">
        <v>67.5</v>
      </c>
      <c r="L120" s="229"/>
      <c r="M120" s="319"/>
    </row>
    <row r="121" spans="2:13" s="53" customFormat="1" ht="15.75" thickBot="1">
      <c r="B121" s="256" t="s">
        <v>56</v>
      </c>
      <c r="C121" s="257"/>
      <c r="D121" s="314"/>
      <c r="E121" s="315"/>
      <c r="F121" s="308">
        <v>10</v>
      </c>
      <c r="G121" s="308"/>
      <c r="H121" s="225">
        <f t="shared" si="3"/>
        <v>33.75</v>
      </c>
      <c r="I121" s="225"/>
      <c r="J121" s="225"/>
      <c r="K121" s="225">
        <v>74.25</v>
      </c>
      <c r="L121" s="225"/>
      <c r="M121" s="309"/>
    </row>
    <row r="122" spans="2:13" s="53" customFormat="1" ht="15">
      <c r="B122" s="310" t="s">
        <v>141</v>
      </c>
      <c r="C122" s="311"/>
      <c r="D122" s="312">
        <v>2</v>
      </c>
      <c r="E122" s="313"/>
      <c r="F122" s="316">
        <v>10</v>
      </c>
      <c r="G122" s="316"/>
      <c r="H122" s="285">
        <f>K122/2</f>
        <v>16</v>
      </c>
      <c r="I122" s="285"/>
      <c r="J122" s="285"/>
      <c r="K122" s="285">
        <v>32</v>
      </c>
      <c r="L122" s="285"/>
      <c r="M122" s="317"/>
    </row>
    <row r="123" spans="2:13" s="53" customFormat="1" ht="15.75" thickBot="1">
      <c r="B123" s="256" t="s">
        <v>142</v>
      </c>
      <c r="C123" s="257"/>
      <c r="D123" s="314"/>
      <c r="E123" s="315"/>
      <c r="F123" s="308">
        <v>10</v>
      </c>
      <c r="G123" s="308"/>
      <c r="H123" s="225">
        <f>K123/2</f>
        <v>16</v>
      </c>
      <c r="I123" s="225"/>
      <c r="J123" s="225"/>
      <c r="K123" s="225">
        <v>32</v>
      </c>
      <c r="L123" s="225"/>
      <c r="M123" s="309"/>
    </row>
    <row r="124" spans="2:13" s="53" customFormat="1" ht="15">
      <c r="B124" s="310" t="s">
        <v>141</v>
      </c>
      <c r="C124" s="311"/>
      <c r="D124" s="283">
        <v>2.5</v>
      </c>
      <c r="E124" s="284"/>
      <c r="F124" s="282">
        <v>10</v>
      </c>
      <c r="G124" s="282"/>
      <c r="H124" s="285">
        <f aca="true" t="shared" si="4" ref="H124:H131">K124/2.5</f>
        <v>16</v>
      </c>
      <c r="I124" s="285"/>
      <c r="J124" s="285"/>
      <c r="K124" s="287">
        <v>40</v>
      </c>
      <c r="L124" s="287"/>
      <c r="M124" s="288"/>
    </row>
    <row r="125" spans="2:13" s="53" customFormat="1" ht="15">
      <c r="B125" s="232" t="s">
        <v>142</v>
      </c>
      <c r="C125" s="233"/>
      <c r="D125" s="265"/>
      <c r="E125" s="266"/>
      <c r="F125" s="307">
        <v>10</v>
      </c>
      <c r="G125" s="307"/>
      <c r="H125" s="229">
        <f t="shared" si="4"/>
        <v>16</v>
      </c>
      <c r="I125" s="229"/>
      <c r="J125" s="229"/>
      <c r="K125" s="217">
        <v>40</v>
      </c>
      <c r="L125" s="218"/>
      <c r="M125" s="219"/>
    </row>
    <row r="126" spans="2:13" s="53" customFormat="1" ht="15">
      <c r="B126" s="232" t="s">
        <v>223</v>
      </c>
      <c r="C126" s="233"/>
      <c r="D126" s="265"/>
      <c r="E126" s="266"/>
      <c r="F126" s="234">
        <v>10</v>
      </c>
      <c r="G126" s="235"/>
      <c r="H126" s="229">
        <f>K126/2.5</f>
        <v>20</v>
      </c>
      <c r="I126" s="229"/>
      <c r="J126" s="229"/>
      <c r="K126" s="217">
        <v>50</v>
      </c>
      <c r="L126" s="218"/>
      <c r="M126" s="219"/>
    </row>
    <row r="127" spans="2:13" s="53" customFormat="1" ht="15">
      <c r="B127" s="232" t="s">
        <v>143</v>
      </c>
      <c r="C127" s="233"/>
      <c r="D127" s="265"/>
      <c r="E127" s="266"/>
      <c r="F127" s="269">
        <v>10</v>
      </c>
      <c r="G127" s="269"/>
      <c r="H127" s="229">
        <f t="shared" si="4"/>
        <v>20</v>
      </c>
      <c r="I127" s="229"/>
      <c r="J127" s="229"/>
      <c r="K127" s="230">
        <v>50</v>
      </c>
      <c r="L127" s="230"/>
      <c r="M127" s="231"/>
    </row>
    <row r="128" spans="2:13" s="53" customFormat="1" ht="15">
      <c r="B128" s="232" t="s">
        <v>144</v>
      </c>
      <c r="C128" s="233"/>
      <c r="D128" s="265"/>
      <c r="E128" s="266"/>
      <c r="F128" s="228">
        <v>10</v>
      </c>
      <c r="G128" s="228"/>
      <c r="H128" s="229">
        <f t="shared" si="4"/>
        <v>20</v>
      </c>
      <c r="I128" s="229"/>
      <c r="J128" s="229"/>
      <c r="K128" s="230">
        <v>50</v>
      </c>
      <c r="L128" s="230"/>
      <c r="M128" s="231"/>
    </row>
    <row r="129" spans="2:13" s="53" customFormat="1" ht="15">
      <c r="B129" s="232" t="s">
        <v>145</v>
      </c>
      <c r="C129" s="233"/>
      <c r="D129" s="265"/>
      <c r="E129" s="266"/>
      <c r="F129" s="228">
        <v>10</v>
      </c>
      <c r="G129" s="228"/>
      <c r="H129" s="229">
        <f t="shared" si="4"/>
        <v>21.252000000000002</v>
      </c>
      <c r="I129" s="229"/>
      <c r="J129" s="229"/>
      <c r="K129" s="230">
        <v>53.13</v>
      </c>
      <c r="L129" s="230"/>
      <c r="M129" s="231"/>
    </row>
    <row r="130" spans="2:13" s="53" customFormat="1" ht="15">
      <c r="B130" s="232" t="s">
        <v>242</v>
      </c>
      <c r="C130" s="233"/>
      <c r="D130" s="265"/>
      <c r="E130" s="266"/>
      <c r="F130" s="239">
        <v>10</v>
      </c>
      <c r="G130" s="240"/>
      <c r="H130" s="229">
        <f>K130/2.5</f>
        <v>23.5</v>
      </c>
      <c r="I130" s="229"/>
      <c r="J130" s="229"/>
      <c r="K130" s="217">
        <v>58.75</v>
      </c>
      <c r="L130" s="218"/>
      <c r="M130" s="219"/>
    </row>
    <row r="131" spans="2:13" s="53" customFormat="1" ht="15">
      <c r="B131" s="296" t="s">
        <v>146</v>
      </c>
      <c r="C131" s="297"/>
      <c r="D131" s="265"/>
      <c r="E131" s="266"/>
      <c r="F131" s="277">
        <v>10</v>
      </c>
      <c r="G131" s="277"/>
      <c r="H131" s="286">
        <f t="shared" si="4"/>
        <v>23.5</v>
      </c>
      <c r="I131" s="286"/>
      <c r="J131" s="286"/>
      <c r="K131" s="278">
        <v>58.75</v>
      </c>
      <c r="L131" s="278"/>
      <c r="M131" s="279"/>
    </row>
    <row r="132" spans="2:13" s="53" customFormat="1" ht="15">
      <c r="B132" s="263" t="s">
        <v>147</v>
      </c>
      <c r="C132" s="264"/>
      <c r="D132" s="265"/>
      <c r="E132" s="266"/>
      <c r="F132" s="239">
        <v>10</v>
      </c>
      <c r="G132" s="240"/>
      <c r="H132" s="236">
        <f aca="true" t="shared" si="5" ref="H132:H137">K132/2.5</f>
        <v>25</v>
      </c>
      <c r="I132" s="237"/>
      <c r="J132" s="238"/>
      <c r="K132" s="217">
        <v>62.5</v>
      </c>
      <c r="L132" s="218"/>
      <c r="M132" s="219"/>
    </row>
    <row r="133" spans="2:13" ht="15">
      <c r="B133" s="232" t="s">
        <v>140</v>
      </c>
      <c r="C133" s="233"/>
      <c r="D133" s="265"/>
      <c r="E133" s="266"/>
      <c r="F133" s="239">
        <v>10</v>
      </c>
      <c r="G133" s="240"/>
      <c r="H133" s="236">
        <f t="shared" si="5"/>
        <v>25</v>
      </c>
      <c r="I133" s="237"/>
      <c r="J133" s="238"/>
      <c r="K133" s="217">
        <v>62.5</v>
      </c>
      <c r="L133" s="218"/>
      <c r="M133" s="219"/>
    </row>
    <row r="134" spans="2:13" ht="15">
      <c r="B134" s="263" t="s">
        <v>243</v>
      </c>
      <c r="C134" s="264"/>
      <c r="D134" s="265"/>
      <c r="E134" s="266"/>
      <c r="F134" s="239">
        <v>10</v>
      </c>
      <c r="G134" s="240"/>
      <c r="H134" s="236">
        <f t="shared" si="5"/>
        <v>14.4</v>
      </c>
      <c r="I134" s="237"/>
      <c r="J134" s="238"/>
      <c r="K134" s="220">
        <v>36</v>
      </c>
      <c r="L134" s="221"/>
      <c r="M134" s="222"/>
    </row>
    <row r="135" spans="2:13" ht="15">
      <c r="B135" s="232" t="s">
        <v>244</v>
      </c>
      <c r="C135" s="233"/>
      <c r="D135" s="265"/>
      <c r="E135" s="266"/>
      <c r="F135" s="239">
        <v>10</v>
      </c>
      <c r="G135" s="240"/>
      <c r="H135" s="236">
        <f t="shared" si="5"/>
        <v>18</v>
      </c>
      <c r="I135" s="237"/>
      <c r="J135" s="238"/>
      <c r="K135" s="217">
        <v>45</v>
      </c>
      <c r="L135" s="218"/>
      <c r="M135" s="219"/>
    </row>
    <row r="136" spans="2:13" ht="15">
      <c r="B136" s="232" t="s">
        <v>245</v>
      </c>
      <c r="C136" s="233"/>
      <c r="D136" s="265"/>
      <c r="E136" s="266"/>
      <c r="F136" s="239">
        <v>10</v>
      </c>
      <c r="G136" s="240"/>
      <c r="H136" s="236">
        <f t="shared" si="5"/>
        <v>18</v>
      </c>
      <c r="I136" s="237"/>
      <c r="J136" s="238"/>
      <c r="K136" s="217">
        <v>45</v>
      </c>
      <c r="L136" s="218"/>
      <c r="M136" s="219"/>
    </row>
    <row r="137" spans="2:13" ht="15.75" thickBot="1">
      <c r="B137" s="296" t="s">
        <v>246</v>
      </c>
      <c r="C137" s="297"/>
      <c r="D137" s="267"/>
      <c r="E137" s="268"/>
      <c r="F137" s="298">
        <v>10</v>
      </c>
      <c r="G137" s="299"/>
      <c r="H137" s="300">
        <f t="shared" si="5"/>
        <v>21.152</v>
      </c>
      <c r="I137" s="301"/>
      <c r="J137" s="302"/>
      <c r="K137" s="303">
        <v>52.88</v>
      </c>
      <c r="L137" s="304"/>
      <c r="M137" s="305"/>
    </row>
    <row r="138" spans="2:13" ht="15.75" thickBot="1">
      <c r="B138" s="291" t="s">
        <v>148</v>
      </c>
      <c r="C138" s="292"/>
      <c r="D138" s="223">
        <v>2</v>
      </c>
      <c r="E138" s="223"/>
      <c r="F138" s="224">
        <v>20</v>
      </c>
      <c r="G138" s="224"/>
      <c r="H138" s="306">
        <f>K138/2</f>
        <v>8.125</v>
      </c>
      <c r="I138" s="306"/>
      <c r="J138" s="306"/>
      <c r="K138" s="226">
        <v>16.25</v>
      </c>
      <c r="L138" s="226"/>
      <c r="M138" s="227"/>
    </row>
    <row r="139" spans="2:13" ht="15.75" thickBot="1">
      <c r="B139" s="291" t="s">
        <v>148</v>
      </c>
      <c r="C139" s="292"/>
      <c r="D139" s="223">
        <v>2.2</v>
      </c>
      <c r="E139" s="223"/>
      <c r="F139" s="224">
        <v>20</v>
      </c>
      <c r="G139" s="224"/>
      <c r="H139" s="225">
        <f>K139/2.2</f>
        <v>8.131818181818181</v>
      </c>
      <c r="I139" s="225"/>
      <c r="J139" s="225"/>
      <c r="K139" s="226">
        <v>17.89</v>
      </c>
      <c r="L139" s="226"/>
      <c r="M139" s="227"/>
    </row>
    <row r="140" spans="2:13" ht="15">
      <c r="B140" s="280" t="s">
        <v>150</v>
      </c>
      <c r="C140" s="281"/>
      <c r="D140" s="293">
        <v>2</v>
      </c>
      <c r="E140" s="293"/>
      <c r="F140" s="282">
        <v>10</v>
      </c>
      <c r="G140" s="282"/>
      <c r="H140" s="285">
        <f>K140/2</f>
        <v>13</v>
      </c>
      <c r="I140" s="285"/>
      <c r="J140" s="285"/>
      <c r="K140" s="287">
        <v>26</v>
      </c>
      <c r="L140" s="287"/>
      <c r="M140" s="288"/>
    </row>
    <row r="141" spans="2:13" ht="15">
      <c r="B141" s="273" t="s">
        <v>153</v>
      </c>
      <c r="C141" s="274"/>
      <c r="D141" s="294"/>
      <c r="E141" s="294"/>
      <c r="F141" s="228">
        <v>10</v>
      </c>
      <c r="G141" s="228"/>
      <c r="H141" s="229">
        <f>K141/2</f>
        <v>14</v>
      </c>
      <c r="I141" s="229"/>
      <c r="J141" s="229"/>
      <c r="K141" s="230">
        <v>28</v>
      </c>
      <c r="L141" s="230"/>
      <c r="M141" s="231"/>
    </row>
    <row r="142" spans="2:13" s="53" customFormat="1" ht="15.75" thickBot="1">
      <c r="B142" s="289" t="s">
        <v>154</v>
      </c>
      <c r="C142" s="290"/>
      <c r="D142" s="295"/>
      <c r="E142" s="295"/>
      <c r="F142" s="258">
        <v>10</v>
      </c>
      <c r="G142" s="258"/>
      <c r="H142" s="225">
        <f>K142/2</f>
        <v>14</v>
      </c>
      <c r="I142" s="225"/>
      <c r="J142" s="225"/>
      <c r="K142" s="259">
        <v>28</v>
      </c>
      <c r="L142" s="259"/>
      <c r="M142" s="260"/>
    </row>
    <row r="143" spans="2:13" s="53" customFormat="1" ht="15">
      <c r="B143" s="280" t="s">
        <v>150</v>
      </c>
      <c r="C143" s="281"/>
      <c r="D143" s="283">
        <v>2.5</v>
      </c>
      <c r="E143" s="284"/>
      <c r="F143" s="282">
        <v>10</v>
      </c>
      <c r="G143" s="282"/>
      <c r="H143" s="285">
        <f>K143/2.5</f>
        <v>13</v>
      </c>
      <c r="I143" s="285"/>
      <c r="J143" s="285"/>
      <c r="K143" s="287">
        <v>32.5</v>
      </c>
      <c r="L143" s="287"/>
      <c r="M143" s="288"/>
    </row>
    <row r="144" spans="2:13" s="53" customFormat="1" ht="15">
      <c r="B144" s="232" t="s">
        <v>151</v>
      </c>
      <c r="C144" s="233"/>
      <c r="D144" s="265"/>
      <c r="E144" s="266"/>
      <c r="F144" s="228">
        <v>10</v>
      </c>
      <c r="G144" s="228"/>
      <c r="H144" s="229">
        <f aca="true" t="shared" si="6" ref="H144:H155">K144/2.5</f>
        <v>13</v>
      </c>
      <c r="I144" s="229"/>
      <c r="J144" s="229"/>
      <c r="K144" s="230">
        <v>32.5</v>
      </c>
      <c r="L144" s="230"/>
      <c r="M144" s="231"/>
    </row>
    <row r="145" spans="2:13" s="53" customFormat="1" ht="15">
      <c r="B145" s="232" t="s">
        <v>152</v>
      </c>
      <c r="C145" s="233"/>
      <c r="D145" s="265"/>
      <c r="E145" s="266"/>
      <c r="F145" s="228">
        <v>10</v>
      </c>
      <c r="G145" s="228"/>
      <c r="H145" s="229">
        <f t="shared" si="6"/>
        <v>13</v>
      </c>
      <c r="I145" s="229"/>
      <c r="J145" s="229"/>
      <c r="K145" s="230">
        <v>32.5</v>
      </c>
      <c r="L145" s="230"/>
      <c r="M145" s="231"/>
    </row>
    <row r="146" spans="2:13" s="53" customFormat="1" ht="15">
      <c r="B146" s="273" t="s">
        <v>153</v>
      </c>
      <c r="C146" s="274"/>
      <c r="D146" s="265"/>
      <c r="E146" s="266"/>
      <c r="F146" s="228">
        <v>10</v>
      </c>
      <c r="G146" s="228"/>
      <c r="H146" s="229">
        <f t="shared" si="6"/>
        <v>14</v>
      </c>
      <c r="I146" s="229"/>
      <c r="J146" s="229"/>
      <c r="K146" s="230">
        <v>35</v>
      </c>
      <c r="L146" s="230"/>
      <c r="M146" s="231"/>
    </row>
    <row r="147" spans="2:13" s="53" customFormat="1" ht="3.75" customHeight="1" hidden="1" thickBot="1">
      <c r="B147" s="273" t="s">
        <v>154</v>
      </c>
      <c r="C147" s="274"/>
      <c r="D147" s="265"/>
      <c r="E147" s="266"/>
      <c r="F147" s="228">
        <v>10</v>
      </c>
      <c r="G147" s="228"/>
      <c r="H147" s="229">
        <f t="shared" si="6"/>
        <v>14</v>
      </c>
      <c r="I147" s="229"/>
      <c r="J147" s="229"/>
      <c r="K147" s="230">
        <v>35</v>
      </c>
      <c r="L147" s="230"/>
      <c r="M147" s="231"/>
    </row>
    <row r="148" spans="2:13" s="53" customFormat="1" ht="15.75" thickBot="1">
      <c r="B148" s="275" t="s">
        <v>149</v>
      </c>
      <c r="C148" s="276"/>
      <c r="D148" s="265"/>
      <c r="E148" s="266"/>
      <c r="F148" s="277">
        <v>10</v>
      </c>
      <c r="G148" s="277"/>
      <c r="H148" s="286">
        <f t="shared" si="6"/>
        <v>14</v>
      </c>
      <c r="I148" s="286"/>
      <c r="J148" s="286"/>
      <c r="K148" s="278">
        <v>35</v>
      </c>
      <c r="L148" s="278"/>
      <c r="M148" s="279"/>
    </row>
    <row r="149" spans="2:17" s="53" customFormat="1" ht="15">
      <c r="B149" s="280" t="s">
        <v>155</v>
      </c>
      <c r="C149" s="281"/>
      <c r="D149" s="283">
        <v>2</v>
      </c>
      <c r="E149" s="284"/>
      <c r="F149" s="282">
        <v>10</v>
      </c>
      <c r="G149" s="282"/>
      <c r="H149" s="285">
        <f>K149/2</f>
        <v>20</v>
      </c>
      <c r="I149" s="285"/>
      <c r="J149" s="285"/>
      <c r="K149" s="287">
        <v>40</v>
      </c>
      <c r="L149" s="287"/>
      <c r="M149" s="288"/>
      <c r="Q149"/>
    </row>
    <row r="150" spans="2:18" s="53" customFormat="1" ht="15">
      <c r="B150" s="232" t="s">
        <v>158</v>
      </c>
      <c r="C150" s="233"/>
      <c r="D150" s="265"/>
      <c r="E150" s="266"/>
      <c r="F150" s="228">
        <v>10</v>
      </c>
      <c r="G150" s="228"/>
      <c r="H150" s="229">
        <f>K150/2</f>
        <v>27.5</v>
      </c>
      <c r="I150" s="229"/>
      <c r="J150" s="229"/>
      <c r="K150" s="230">
        <v>55</v>
      </c>
      <c r="L150" s="230"/>
      <c r="M150" s="231"/>
      <c r="Q150"/>
      <c r="R150"/>
    </row>
    <row r="151" spans="2:18" s="53" customFormat="1" ht="15.75" thickBot="1">
      <c r="B151" s="256" t="s">
        <v>157</v>
      </c>
      <c r="C151" s="257"/>
      <c r="D151" s="267"/>
      <c r="E151" s="268"/>
      <c r="F151" s="258">
        <v>10</v>
      </c>
      <c r="G151" s="258"/>
      <c r="H151" s="225">
        <f>K151/2</f>
        <v>27.5</v>
      </c>
      <c r="I151" s="225"/>
      <c r="J151" s="225"/>
      <c r="K151" s="259">
        <v>55</v>
      </c>
      <c r="L151" s="259"/>
      <c r="M151" s="260"/>
      <c r="P151"/>
      <c r="R151"/>
    </row>
    <row r="152" spans="2:18" s="53" customFormat="1" ht="15">
      <c r="B152" s="263" t="s">
        <v>155</v>
      </c>
      <c r="C152" s="264"/>
      <c r="D152" s="265">
        <v>2.5</v>
      </c>
      <c r="E152" s="266"/>
      <c r="F152" s="269">
        <v>10</v>
      </c>
      <c r="G152" s="269"/>
      <c r="H152" s="270">
        <f t="shared" si="6"/>
        <v>20</v>
      </c>
      <c r="I152" s="270"/>
      <c r="J152" s="270"/>
      <c r="K152" s="271">
        <v>50</v>
      </c>
      <c r="L152" s="271"/>
      <c r="M152" s="272"/>
      <c r="P152"/>
      <c r="R152"/>
    </row>
    <row r="153" spans="2:18" ht="15">
      <c r="B153" s="232" t="s">
        <v>156</v>
      </c>
      <c r="C153" s="233"/>
      <c r="D153" s="265"/>
      <c r="E153" s="266"/>
      <c r="F153" s="228">
        <v>10</v>
      </c>
      <c r="G153" s="228"/>
      <c r="H153" s="229">
        <f t="shared" si="6"/>
        <v>20</v>
      </c>
      <c r="I153" s="229"/>
      <c r="J153" s="229"/>
      <c r="K153" s="230">
        <v>50</v>
      </c>
      <c r="L153" s="230"/>
      <c r="M153" s="231"/>
      <c r="Q153" s="53"/>
      <c r="R153" s="53"/>
    </row>
    <row r="154" spans="2:13" ht="15">
      <c r="B154" s="232" t="s">
        <v>157</v>
      </c>
      <c r="C154" s="233"/>
      <c r="D154" s="265"/>
      <c r="E154" s="266"/>
      <c r="F154" s="228">
        <v>10</v>
      </c>
      <c r="G154" s="228"/>
      <c r="H154" s="229">
        <f t="shared" si="6"/>
        <v>27.5</v>
      </c>
      <c r="I154" s="229"/>
      <c r="J154" s="229"/>
      <c r="K154" s="230">
        <v>68.75</v>
      </c>
      <c r="L154" s="230"/>
      <c r="M154" s="231"/>
    </row>
    <row r="155" spans="2:13" ht="15.75" thickBot="1">
      <c r="B155" s="256" t="s">
        <v>158</v>
      </c>
      <c r="C155" s="257"/>
      <c r="D155" s="267"/>
      <c r="E155" s="268"/>
      <c r="F155" s="258">
        <v>10</v>
      </c>
      <c r="G155" s="258"/>
      <c r="H155" s="225">
        <f t="shared" si="6"/>
        <v>27.5</v>
      </c>
      <c r="I155" s="225"/>
      <c r="J155" s="225"/>
      <c r="K155" s="259">
        <v>68.75</v>
      </c>
      <c r="L155" s="259"/>
      <c r="M155" s="260"/>
    </row>
    <row r="156" spans="2:13" ht="15.75" thickBot="1">
      <c r="B156" s="261" t="s">
        <v>159</v>
      </c>
      <c r="C156" s="262"/>
      <c r="D156" s="223" t="s">
        <v>224</v>
      </c>
      <c r="E156" s="223"/>
      <c r="F156" s="224">
        <v>50</v>
      </c>
      <c r="G156" s="224"/>
      <c r="H156" s="225">
        <v>5.2</v>
      </c>
      <c r="I156" s="225"/>
      <c r="J156" s="225"/>
      <c r="K156" s="226" t="s">
        <v>255</v>
      </c>
      <c r="L156" s="226"/>
      <c r="M156" s="227"/>
    </row>
    <row r="157" spans="2:13" ht="15.75" thickBot="1">
      <c r="B157" s="250" t="s">
        <v>160</v>
      </c>
      <c r="C157" s="251"/>
      <c r="D157" s="252">
        <v>2.5</v>
      </c>
      <c r="E157" s="252"/>
      <c r="F157" s="253">
        <v>25</v>
      </c>
      <c r="G157" s="253"/>
      <c r="H157" s="225">
        <f>K157/2.5</f>
        <v>7</v>
      </c>
      <c r="I157" s="225"/>
      <c r="J157" s="225"/>
      <c r="K157" s="254">
        <v>17.5</v>
      </c>
      <c r="L157" s="254"/>
      <c r="M157" s="255"/>
    </row>
    <row r="158" spans="2:13" ht="69" customHeight="1" thickBot="1">
      <c r="B158" s="15"/>
      <c r="C158" s="15"/>
      <c r="D158" s="32"/>
      <c r="E158" s="32"/>
      <c r="F158" s="16"/>
      <c r="G158" s="16"/>
      <c r="H158" s="18"/>
      <c r="I158" s="18"/>
      <c r="J158" s="18"/>
      <c r="K158" s="18"/>
      <c r="L158" s="18"/>
      <c r="M158" s="18"/>
    </row>
    <row r="159" spans="2:13" ht="48.75" customHeight="1">
      <c r="B159" s="398" t="s">
        <v>57</v>
      </c>
      <c r="C159" s="399"/>
      <c r="D159" s="399"/>
      <c r="E159" s="399"/>
      <c r="F159" s="399"/>
      <c r="G159" s="399"/>
      <c r="H159" s="399"/>
      <c r="I159" s="399"/>
      <c r="J159" s="399"/>
      <c r="K159" s="399"/>
      <c r="L159" s="399"/>
      <c r="M159" s="400"/>
    </row>
    <row r="160" spans="2:13" ht="28.5">
      <c r="B160" s="139" t="s">
        <v>31</v>
      </c>
      <c r="C160" s="140"/>
      <c r="D160" s="140"/>
      <c r="E160" s="20" t="s">
        <v>58</v>
      </c>
      <c r="F160" s="140" t="s">
        <v>38</v>
      </c>
      <c r="G160" s="140"/>
      <c r="H160" s="140" t="s">
        <v>59</v>
      </c>
      <c r="I160" s="140"/>
      <c r="J160" s="140"/>
      <c r="K160" s="140" t="s">
        <v>60</v>
      </c>
      <c r="L160" s="140"/>
      <c r="M160" s="142"/>
    </row>
    <row r="161" spans="2:13" ht="15">
      <c r="B161" s="177" t="s">
        <v>164</v>
      </c>
      <c r="C161" s="178"/>
      <c r="D161" s="178"/>
      <c r="E161" s="69">
        <v>12</v>
      </c>
      <c r="F161" s="427">
        <v>11500</v>
      </c>
      <c r="G161" s="428"/>
      <c r="H161" s="153">
        <f>K161/2.1</f>
        <v>10.35</v>
      </c>
      <c r="I161" s="154"/>
      <c r="J161" s="155"/>
      <c r="K161" s="153">
        <f>0.02*0.045*2.1*F161</f>
        <v>21.735</v>
      </c>
      <c r="L161" s="154"/>
      <c r="M161" s="426"/>
    </row>
    <row r="162" spans="2:13" ht="12.75" customHeight="1">
      <c r="B162" s="177" t="s">
        <v>61</v>
      </c>
      <c r="C162" s="178"/>
      <c r="D162" s="178"/>
      <c r="E162" s="33">
        <v>12</v>
      </c>
      <c r="F162" s="421">
        <v>11500</v>
      </c>
      <c r="G162" s="421"/>
      <c r="H162" s="153">
        <f>K162/2.4</f>
        <v>10.35</v>
      </c>
      <c r="I162" s="154"/>
      <c r="J162" s="155"/>
      <c r="K162" s="153">
        <f>0.02*0.045*2.4*F162</f>
        <v>24.84</v>
      </c>
      <c r="L162" s="154"/>
      <c r="M162" s="426"/>
    </row>
    <row r="163" spans="2:13" ht="14.25" customHeight="1">
      <c r="B163" s="177" t="s">
        <v>230</v>
      </c>
      <c r="C163" s="178"/>
      <c r="D163" s="178"/>
      <c r="E163" s="33">
        <v>12</v>
      </c>
      <c r="F163" s="448">
        <v>11500</v>
      </c>
      <c r="G163" s="449"/>
      <c r="H163" s="153">
        <f>K163/2.5</f>
        <v>10.352</v>
      </c>
      <c r="I163" s="154"/>
      <c r="J163" s="155"/>
      <c r="K163" s="153">
        <v>25.88</v>
      </c>
      <c r="L163" s="154"/>
      <c r="M163" s="426"/>
    </row>
    <row r="164" spans="2:13" ht="12.75" customHeight="1">
      <c r="B164" s="177" t="s">
        <v>165</v>
      </c>
      <c r="C164" s="178"/>
      <c r="D164" s="178"/>
      <c r="E164" s="33">
        <v>12</v>
      </c>
      <c r="F164" s="448">
        <v>11500</v>
      </c>
      <c r="G164" s="449"/>
      <c r="H164" s="153">
        <f>K164/2.7</f>
        <v>10.350000000000001</v>
      </c>
      <c r="I164" s="154"/>
      <c r="J164" s="155"/>
      <c r="K164" s="153">
        <f>0.02*0.045*2.7*F164</f>
        <v>27.945000000000004</v>
      </c>
      <c r="L164" s="154"/>
      <c r="M164" s="426"/>
    </row>
    <row r="165" spans="2:13" ht="14.25" customHeight="1">
      <c r="B165" s="241" t="s">
        <v>62</v>
      </c>
      <c r="C165" s="242"/>
      <c r="D165" s="242"/>
      <c r="E165" s="34">
        <v>12</v>
      </c>
      <c r="F165" s="432">
        <v>11500</v>
      </c>
      <c r="G165" s="432"/>
      <c r="H165" s="153">
        <f>K165/3</f>
        <v>10.35</v>
      </c>
      <c r="I165" s="154"/>
      <c r="J165" s="155"/>
      <c r="K165" s="427">
        <f>0.02*0.045*3*F165</f>
        <v>31.05</v>
      </c>
      <c r="L165" s="433"/>
      <c r="M165" s="434"/>
    </row>
    <row r="166" spans="2:13" ht="15">
      <c r="B166" s="273" t="s">
        <v>63</v>
      </c>
      <c r="C166" s="274"/>
      <c r="D166" s="274"/>
      <c r="E166" s="73">
        <v>1</v>
      </c>
      <c r="F166" s="431">
        <v>11000</v>
      </c>
      <c r="G166" s="431"/>
      <c r="H166" s="429">
        <v>13.2</v>
      </c>
      <c r="I166" s="429"/>
      <c r="J166" s="429"/>
      <c r="K166" s="429">
        <v>26.4</v>
      </c>
      <c r="L166" s="429"/>
      <c r="M166" s="430"/>
    </row>
    <row r="167" spans="2:13" ht="15">
      <c r="B167" s="273" t="s">
        <v>64</v>
      </c>
      <c r="C167" s="274"/>
      <c r="D167" s="274"/>
      <c r="E167" s="73">
        <v>1</v>
      </c>
      <c r="F167" s="431">
        <v>11000</v>
      </c>
      <c r="G167" s="431"/>
      <c r="H167" s="429">
        <v>13.2</v>
      </c>
      <c r="I167" s="429"/>
      <c r="J167" s="429"/>
      <c r="K167" s="429">
        <v>39.6</v>
      </c>
      <c r="L167" s="429"/>
      <c r="M167" s="430"/>
    </row>
    <row r="168" spans="2:13" ht="15">
      <c r="B168" s="273" t="s">
        <v>103</v>
      </c>
      <c r="C168" s="274"/>
      <c r="D168" s="274"/>
      <c r="E168" s="73">
        <v>1</v>
      </c>
      <c r="F168" s="435">
        <v>11000</v>
      </c>
      <c r="G168" s="436"/>
      <c r="H168" s="437">
        <v>13.2</v>
      </c>
      <c r="I168" s="438"/>
      <c r="J168" s="439"/>
      <c r="K168" s="437">
        <v>52.8</v>
      </c>
      <c r="L168" s="438"/>
      <c r="M168" s="440"/>
    </row>
    <row r="169" spans="2:13" ht="15">
      <c r="B169" s="273" t="s">
        <v>65</v>
      </c>
      <c r="C169" s="274"/>
      <c r="D169" s="274"/>
      <c r="E169" s="73">
        <v>1</v>
      </c>
      <c r="F169" s="431">
        <v>11000</v>
      </c>
      <c r="G169" s="431"/>
      <c r="H169" s="429">
        <v>17.6</v>
      </c>
      <c r="I169" s="429"/>
      <c r="J169" s="429"/>
      <c r="K169" s="429">
        <v>35.2</v>
      </c>
      <c r="L169" s="429"/>
      <c r="M169" s="430"/>
    </row>
    <row r="170" spans="2:13" ht="15">
      <c r="B170" s="273" t="s">
        <v>66</v>
      </c>
      <c r="C170" s="274"/>
      <c r="D170" s="274"/>
      <c r="E170" s="73">
        <v>1</v>
      </c>
      <c r="F170" s="431">
        <v>11000</v>
      </c>
      <c r="G170" s="431"/>
      <c r="H170" s="429">
        <v>17.6</v>
      </c>
      <c r="I170" s="429"/>
      <c r="J170" s="429"/>
      <c r="K170" s="429">
        <v>52.8</v>
      </c>
      <c r="L170" s="429"/>
      <c r="M170" s="430"/>
    </row>
    <row r="171" spans="2:13" ht="15">
      <c r="B171" s="273" t="s">
        <v>104</v>
      </c>
      <c r="C171" s="274"/>
      <c r="D171" s="274"/>
      <c r="E171" s="73">
        <v>1</v>
      </c>
      <c r="F171" s="435">
        <v>11000</v>
      </c>
      <c r="G171" s="436"/>
      <c r="H171" s="437">
        <v>17.6</v>
      </c>
      <c r="I171" s="438"/>
      <c r="J171" s="439"/>
      <c r="K171" s="437">
        <v>70.4</v>
      </c>
      <c r="L171" s="438"/>
      <c r="M171" s="440"/>
    </row>
    <row r="172" spans="2:13" ht="15">
      <c r="B172" s="273" t="s">
        <v>67</v>
      </c>
      <c r="C172" s="274"/>
      <c r="D172" s="274"/>
      <c r="E172" s="73">
        <v>1</v>
      </c>
      <c r="F172" s="431">
        <v>11000</v>
      </c>
      <c r="G172" s="431"/>
      <c r="H172" s="429">
        <v>22</v>
      </c>
      <c r="I172" s="429"/>
      <c r="J172" s="429"/>
      <c r="K172" s="429">
        <v>44</v>
      </c>
      <c r="L172" s="429"/>
      <c r="M172" s="430"/>
    </row>
    <row r="173" spans="2:13" ht="15">
      <c r="B173" s="273" t="s">
        <v>68</v>
      </c>
      <c r="C173" s="274"/>
      <c r="D173" s="274"/>
      <c r="E173" s="73">
        <v>1</v>
      </c>
      <c r="F173" s="431">
        <v>11000</v>
      </c>
      <c r="G173" s="431"/>
      <c r="H173" s="429">
        <v>22</v>
      </c>
      <c r="I173" s="429"/>
      <c r="J173" s="429"/>
      <c r="K173" s="429">
        <v>66</v>
      </c>
      <c r="L173" s="429"/>
      <c r="M173" s="430"/>
    </row>
    <row r="174" spans="2:13" ht="15">
      <c r="B174" s="273" t="s">
        <v>105</v>
      </c>
      <c r="C174" s="274"/>
      <c r="D174" s="274"/>
      <c r="E174" s="73">
        <v>1</v>
      </c>
      <c r="F174" s="435">
        <v>11000</v>
      </c>
      <c r="G174" s="436"/>
      <c r="H174" s="437">
        <v>22</v>
      </c>
      <c r="I174" s="438"/>
      <c r="J174" s="439"/>
      <c r="K174" s="437">
        <v>88</v>
      </c>
      <c r="L174" s="438"/>
      <c r="M174" s="440"/>
    </row>
    <row r="175" spans="2:13" ht="15">
      <c r="B175" s="273" t="s">
        <v>69</v>
      </c>
      <c r="C175" s="274"/>
      <c r="D175" s="274"/>
      <c r="E175" s="73">
        <v>1</v>
      </c>
      <c r="F175" s="431" t="s">
        <v>16</v>
      </c>
      <c r="G175" s="431"/>
      <c r="H175" s="429">
        <v>39.06</v>
      </c>
      <c r="I175" s="429"/>
      <c r="J175" s="429"/>
      <c r="K175" s="429">
        <v>90</v>
      </c>
      <c r="L175" s="429"/>
      <c r="M175" s="430"/>
    </row>
    <row r="176" spans="2:13" ht="15">
      <c r="B176" s="273" t="s">
        <v>72</v>
      </c>
      <c r="C176" s="274"/>
      <c r="D176" s="274"/>
      <c r="E176" s="73">
        <v>1</v>
      </c>
      <c r="F176" s="435" t="s">
        <v>16</v>
      </c>
      <c r="G176" s="436"/>
      <c r="H176" s="437">
        <v>41.79</v>
      </c>
      <c r="I176" s="438"/>
      <c r="J176" s="439"/>
      <c r="K176" s="437">
        <v>96</v>
      </c>
      <c r="L176" s="438"/>
      <c r="M176" s="440"/>
    </row>
    <row r="177" ht="15.75" thickBot="1"/>
    <row r="178" spans="2:13" ht="51.75" customHeight="1">
      <c r="B178" s="328" t="s">
        <v>70</v>
      </c>
      <c r="C178" s="329"/>
      <c r="D178" s="329"/>
      <c r="E178" s="329"/>
      <c r="F178" s="329"/>
      <c r="G178" s="329"/>
      <c r="H178" s="329"/>
      <c r="I178" s="329"/>
      <c r="J178" s="329"/>
      <c r="K178" s="329"/>
      <c r="L178" s="329"/>
      <c r="M178" s="330"/>
    </row>
    <row r="179" spans="2:13" ht="15">
      <c r="B179" s="139" t="s">
        <v>31</v>
      </c>
      <c r="C179" s="140"/>
      <c r="D179" s="140" t="s">
        <v>18</v>
      </c>
      <c r="E179" s="140"/>
      <c r="F179" s="140" t="s">
        <v>19</v>
      </c>
      <c r="G179" s="140"/>
      <c r="H179" s="140" t="s">
        <v>60</v>
      </c>
      <c r="I179" s="140"/>
      <c r="J179" s="140"/>
      <c r="K179" s="140" t="s">
        <v>38</v>
      </c>
      <c r="L179" s="140"/>
      <c r="M179" s="142"/>
    </row>
    <row r="180" spans="2:13" ht="15">
      <c r="B180" s="376" t="s">
        <v>71</v>
      </c>
      <c r="C180" s="377"/>
      <c r="D180" s="378" t="s">
        <v>161</v>
      </c>
      <c r="E180" s="378"/>
      <c r="F180" s="445">
        <v>2</v>
      </c>
      <c r="G180" s="446"/>
      <c r="H180" s="153">
        <v>39.9</v>
      </c>
      <c r="I180" s="154"/>
      <c r="J180" s="155"/>
      <c r="K180" s="427">
        <v>10500</v>
      </c>
      <c r="L180" s="433"/>
      <c r="M180" s="434"/>
    </row>
    <row r="181" spans="2:13" ht="15">
      <c r="B181" s="376" t="s">
        <v>71</v>
      </c>
      <c r="C181" s="377"/>
      <c r="D181" s="378" t="s">
        <v>161</v>
      </c>
      <c r="E181" s="378"/>
      <c r="F181" s="375">
        <v>3</v>
      </c>
      <c r="G181" s="375"/>
      <c r="H181" s="447">
        <v>59.85</v>
      </c>
      <c r="I181" s="447"/>
      <c r="J181" s="447"/>
      <c r="K181" s="140">
        <v>10500</v>
      </c>
      <c r="L181" s="140"/>
      <c r="M181" s="142"/>
    </row>
    <row r="182" spans="2:13" ht="15.75" thickBot="1">
      <c r="B182" s="443" t="s">
        <v>71</v>
      </c>
      <c r="C182" s="444"/>
      <c r="D182" s="422" t="s">
        <v>161</v>
      </c>
      <c r="E182" s="422"/>
      <c r="F182" s="374">
        <v>4</v>
      </c>
      <c r="G182" s="374"/>
      <c r="H182" s="379">
        <v>79.8</v>
      </c>
      <c r="I182" s="379"/>
      <c r="J182" s="379"/>
      <c r="K182" s="441">
        <v>10500</v>
      </c>
      <c r="L182" s="441"/>
      <c r="M182" s="442"/>
    </row>
    <row r="183" spans="2:13" ht="15.75" thickBot="1">
      <c r="B183" s="35"/>
      <c r="C183" s="35"/>
      <c r="D183" s="29"/>
      <c r="E183" s="29"/>
      <c r="F183" s="36"/>
      <c r="G183" s="36"/>
      <c r="H183" s="37"/>
      <c r="I183" s="37"/>
      <c r="J183" s="37"/>
      <c r="K183" s="29"/>
      <c r="L183" s="29"/>
      <c r="M183" s="29"/>
    </row>
    <row r="184" spans="2:13" ht="38.25" customHeight="1">
      <c r="B184" s="354" t="s">
        <v>112</v>
      </c>
      <c r="C184" s="355"/>
      <c r="D184" s="355"/>
      <c r="E184" s="355"/>
      <c r="F184" s="355"/>
      <c r="G184" s="355"/>
      <c r="H184" s="355"/>
      <c r="I184" s="355"/>
      <c r="J184" s="355"/>
      <c r="K184" s="355"/>
      <c r="L184" s="355"/>
      <c r="M184" s="356"/>
    </row>
    <row r="185" spans="2:13" ht="15">
      <c r="B185" s="468" t="s">
        <v>1</v>
      </c>
      <c r="C185" s="470" t="s">
        <v>117</v>
      </c>
      <c r="D185" s="470" t="s">
        <v>118</v>
      </c>
      <c r="E185" s="509" t="s">
        <v>167</v>
      </c>
      <c r="F185" s="506" t="s">
        <v>166</v>
      </c>
      <c r="G185" s="507"/>
      <c r="H185" s="506" t="s">
        <v>2</v>
      </c>
      <c r="I185" s="507"/>
      <c r="J185" s="506" t="s">
        <v>3</v>
      </c>
      <c r="K185" s="507"/>
      <c r="L185" s="506" t="s">
        <v>4</v>
      </c>
      <c r="M185" s="508"/>
    </row>
    <row r="186" spans="2:13" ht="16.5">
      <c r="B186" s="469"/>
      <c r="C186" s="471"/>
      <c r="D186" s="471"/>
      <c r="E186" s="510"/>
      <c r="F186" s="115" t="s">
        <v>216</v>
      </c>
      <c r="G186" s="115" t="s">
        <v>113</v>
      </c>
      <c r="H186" s="115" t="s">
        <v>216</v>
      </c>
      <c r="I186" s="115" t="s">
        <v>113</v>
      </c>
      <c r="J186" s="115" t="s">
        <v>216</v>
      </c>
      <c r="K186" s="115" t="s">
        <v>113</v>
      </c>
      <c r="L186" s="115" t="s">
        <v>216</v>
      </c>
      <c r="M186" s="82" t="s">
        <v>113</v>
      </c>
    </row>
    <row r="187" spans="2:13" ht="15">
      <c r="B187" s="75" t="s">
        <v>168</v>
      </c>
      <c r="C187" s="76">
        <v>6</v>
      </c>
      <c r="D187" s="77">
        <v>1.296</v>
      </c>
      <c r="E187" s="80">
        <v>0.0195</v>
      </c>
      <c r="F187" s="117">
        <f>50000*E187</f>
        <v>975</v>
      </c>
      <c r="G187" s="117">
        <f>50000*0.014*86/80</f>
        <v>752.5</v>
      </c>
      <c r="H187" s="117">
        <f>38500*E187</f>
        <v>750.75</v>
      </c>
      <c r="I187" s="117">
        <f>38500*0.014*86/80</f>
        <v>579.425</v>
      </c>
      <c r="J187" s="117">
        <f>26000*E187</f>
        <v>507</v>
      </c>
      <c r="K187" s="117">
        <f>26000*0.014*86/80</f>
        <v>391.3</v>
      </c>
      <c r="L187" s="117">
        <f>17000*E187</f>
        <v>331.5</v>
      </c>
      <c r="M187" s="118">
        <f>17000*0.014*86/80</f>
        <v>255.85</v>
      </c>
    </row>
    <row r="188" spans="2:13" ht="15">
      <c r="B188" s="75" t="s">
        <v>169</v>
      </c>
      <c r="C188" s="76">
        <v>6</v>
      </c>
      <c r="D188" s="77">
        <v>1.44</v>
      </c>
      <c r="E188" s="80">
        <v>0.021672</v>
      </c>
      <c r="F188" s="117">
        <f>50000*E188</f>
        <v>1083.6</v>
      </c>
      <c r="G188" s="117">
        <f>50000*0.014*86/80</f>
        <v>752.5</v>
      </c>
      <c r="H188" s="117">
        <f>38500*E188</f>
        <v>834.372</v>
      </c>
      <c r="I188" s="117">
        <f>38500*0.014*86/80</f>
        <v>579.425</v>
      </c>
      <c r="J188" s="117">
        <f>26000*E188</f>
        <v>563.472</v>
      </c>
      <c r="K188" s="117">
        <f>26000*0.014*86/80</f>
        <v>391.3</v>
      </c>
      <c r="L188" s="117">
        <f>17000*E188</f>
        <v>368.424</v>
      </c>
      <c r="M188" s="118">
        <f>17000*0.014*86/80</f>
        <v>255.85</v>
      </c>
    </row>
    <row r="189" spans="2:13" ht="15">
      <c r="B189" s="101" t="s">
        <v>170</v>
      </c>
      <c r="C189" s="102">
        <v>6</v>
      </c>
      <c r="D189" s="103">
        <v>1.92</v>
      </c>
      <c r="E189" s="104">
        <v>0.028896</v>
      </c>
      <c r="F189" s="105">
        <f>50000*E189</f>
        <v>1444.8000000000002</v>
      </c>
      <c r="G189" s="105">
        <f>50000*0.014*86/80</f>
        <v>752.5</v>
      </c>
      <c r="H189" s="105">
        <f>38500*E189</f>
        <v>1112.496</v>
      </c>
      <c r="I189" s="105">
        <f>38500*0.014*86/80</f>
        <v>579.425</v>
      </c>
      <c r="J189" s="105">
        <f>26000*E189</f>
        <v>751.296</v>
      </c>
      <c r="K189" s="105">
        <f>26000*0.014*86/80</f>
        <v>391.3</v>
      </c>
      <c r="L189" s="105">
        <f>17000*E189</f>
        <v>491.232</v>
      </c>
      <c r="M189" s="106">
        <f>17000*0.014*86/80</f>
        <v>255.85</v>
      </c>
    </row>
    <row r="190" spans="2:13" ht="15.75" thickBot="1">
      <c r="B190" s="211" t="s">
        <v>247</v>
      </c>
      <c r="C190" s="212"/>
      <c r="D190" s="212"/>
      <c r="E190" s="213"/>
      <c r="F190" s="194">
        <v>50000</v>
      </c>
      <c r="G190" s="196"/>
      <c r="H190" s="194">
        <v>38500</v>
      </c>
      <c r="I190" s="196"/>
      <c r="J190" s="194">
        <v>26000</v>
      </c>
      <c r="K190" s="196"/>
      <c r="L190" s="194">
        <v>17000</v>
      </c>
      <c r="M190" s="195"/>
    </row>
    <row r="191" ht="15.75" thickBot="1"/>
    <row r="192" spans="2:13" ht="33.75" customHeight="1">
      <c r="B192" s="354" t="s">
        <v>73</v>
      </c>
      <c r="C192" s="355"/>
      <c r="D192" s="355"/>
      <c r="E192" s="355"/>
      <c r="F192" s="355"/>
      <c r="G192" s="355"/>
      <c r="H192" s="355"/>
      <c r="I192" s="355"/>
      <c r="J192" s="355"/>
      <c r="K192" s="355"/>
      <c r="L192" s="355"/>
      <c r="M192" s="356"/>
    </row>
    <row r="193" spans="2:13" ht="15">
      <c r="B193" s="184" t="s">
        <v>1</v>
      </c>
      <c r="C193" s="185" t="s">
        <v>117</v>
      </c>
      <c r="D193" s="185" t="s">
        <v>118</v>
      </c>
      <c r="E193" s="353" t="s">
        <v>167</v>
      </c>
      <c r="F193" s="197" t="s">
        <v>166</v>
      </c>
      <c r="G193" s="197"/>
      <c r="H193" s="197" t="s">
        <v>2</v>
      </c>
      <c r="I193" s="197"/>
      <c r="J193" s="197" t="s">
        <v>3</v>
      </c>
      <c r="K193" s="197"/>
      <c r="L193" s="197" t="s">
        <v>4</v>
      </c>
      <c r="M193" s="198"/>
    </row>
    <row r="194" spans="2:13" ht="16.5">
      <c r="B194" s="184"/>
      <c r="C194" s="185"/>
      <c r="D194" s="185"/>
      <c r="E194" s="353"/>
      <c r="F194" s="99" t="s">
        <v>216</v>
      </c>
      <c r="G194" s="99" t="s">
        <v>113</v>
      </c>
      <c r="H194" s="99" t="s">
        <v>216</v>
      </c>
      <c r="I194" s="99" t="s">
        <v>113</v>
      </c>
      <c r="J194" s="99" t="s">
        <v>216</v>
      </c>
      <c r="K194" s="99" t="s">
        <v>113</v>
      </c>
      <c r="L194" s="99" t="s">
        <v>216</v>
      </c>
      <c r="M194" s="82" t="s">
        <v>113</v>
      </c>
    </row>
    <row r="195" spans="2:13" ht="15">
      <c r="B195" s="75" t="s">
        <v>218</v>
      </c>
      <c r="C195" s="76">
        <v>6</v>
      </c>
      <c r="D195" s="77">
        <v>1.815</v>
      </c>
      <c r="E195" s="80">
        <v>0.026796</v>
      </c>
      <c r="F195" s="78">
        <f>51500*E195</f>
        <v>1379.994</v>
      </c>
      <c r="G195" s="78">
        <f>51500*0.014*116/110</f>
        <v>760.3272727272728</v>
      </c>
      <c r="H195" s="78">
        <f>39500*E195</f>
        <v>1058.442</v>
      </c>
      <c r="I195" s="78">
        <f>39500*0.014*116/110</f>
        <v>583.1636363636363</v>
      </c>
      <c r="J195" s="78">
        <f>26500*E195</f>
        <v>710.094</v>
      </c>
      <c r="K195" s="78">
        <f>26500*0.014*116/110</f>
        <v>391.23636363636365</v>
      </c>
      <c r="L195" s="78">
        <f>17000*E195</f>
        <v>455.532</v>
      </c>
      <c r="M195" s="83">
        <f>17000*0.014*116/110</f>
        <v>250.98181818181817</v>
      </c>
    </row>
    <row r="196" spans="2:13" ht="15">
      <c r="B196" s="75" t="s">
        <v>172</v>
      </c>
      <c r="C196" s="76">
        <v>6</v>
      </c>
      <c r="D196" s="77">
        <v>1.98</v>
      </c>
      <c r="E196" s="80">
        <v>0.029232</v>
      </c>
      <c r="F196" s="78">
        <f>51500*E196</f>
        <v>1505.448</v>
      </c>
      <c r="G196" s="78">
        <f>51500*0.014*116/110</f>
        <v>760.3272727272728</v>
      </c>
      <c r="H196" s="78">
        <f>39500*E196</f>
        <v>1154.664</v>
      </c>
      <c r="I196" s="78">
        <f>39500*0.014*116/110</f>
        <v>583.1636363636363</v>
      </c>
      <c r="J196" s="78">
        <f>26500*E196</f>
        <v>774.648</v>
      </c>
      <c r="K196" s="78">
        <f>26500*0.014*116/110</f>
        <v>391.23636363636365</v>
      </c>
      <c r="L196" s="78">
        <f>17000*E196</f>
        <v>496.944</v>
      </c>
      <c r="M196" s="83">
        <f>17000*0.014*116/110</f>
        <v>250.98181818181817</v>
      </c>
    </row>
    <row r="197" spans="2:13" ht="15">
      <c r="B197" s="75" t="s">
        <v>173</v>
      </c>
      <c r="C197" s="76">
        <v>6</v>
      </c>
      <c r="D197" s="77">
        <v>2.64</v>
      </c>
      <c r="E197" s="80">
        <v>0.038976</v>
      </c>
      <c r="F197" s="78">
        <f>51500*E197</f>
        <v>2007.264</v>
      </c>
      <c r="G197" s="78">
        <f>51500*0.014*116/110</f>
        <v>760.3272727272728</v>
      </c>
      <c r="H197" s="78">
        <f>39500*E197</f>
        <v>1539.552</v>
      </c>
      <c r="I197" s="78">
        <f>39500*0.014*116/110</f>
        <v>583.1636363636363</v>
      </c>
      <c r="J197" s="78">
        <f>26500*E197</f>
        <v>1032.8639999999998</v>
      </c>
      <c r="K197" s="78">
        <f>26500*0.014*116/110</f>
        <v>391.23636363636365</v>
      </c>
      <c r="L197" s="78">
        <f>17000*E197</f>
        <v>662.592</v>
      </c>
      <c r="M197" s="83">
        <f>17000*0.014*116/110</f>
        <v>250.98181818181817</v>
      </c>
    </row>
    <row r="198" spans="2:13" ht="15">
      <c r="B198" s="75" t="s">
        <v>174</v>
      </c>
      <c r="C198" s="76">
        <v>6</v>
      </c>
      <c r="D198" s="77">
        <v>2.2356</v>
      </c>
      <c r="E198" s="80">
        <v>0.0326592</v>
      </c>
      <c r="F198" s="78">
        <f>60000*E198</f>
        <v>1959.552</v>
      </c>
      <c r="G198" s="78">
        <f>60000*0.014*144/138</f>
        <v>876.5217391304348</v>
      </c>
      <c r="H198" s="78">
        <f>44500*E198</f>
        <v>1453.3344</v>
      </c>
      <c r="I198" s="78">
        <f>44500*0.014*144/138</f>
        <v>650.0869565217391</v>
      </c>
      <c r="J198" s="78">
        <f>33000*E198</f>
        <v>1077.7536</v>
      </c>
      <c r="K198" s="78">
        <f>33000*0.014*144/138</f>
        <v>482.0869565217391</v>
      </c>
      <c r="L198" s="78">
        <f>19500*E198</f>
        <v>636.8543999999999</v>
      </c>
      <c r="M198" s="83">
        <f>19500*0.014*144/138</f>
        <v>284.8695652173913</v>
      </c>
    </row>
    <row r="199" spans="2:13" ht="15">
      <c r="B199" s="75" t="s">
        <v>175</v>
      </c>
      <c r="C199" s="76">
        <v>6</v>
      </c>
      <c r="D199" s="77">
        <v>2.484</v>
      </c>
      <c r="E199" s="80">
        <v>0.036288</v>
      </c>
      <c r="F199" s="78">
        <f>60000*E199</f>
        <v>2177.28</v>
      </c>
      <c r="G199" s="78">
        <f>60000*0.014*144/138</f>
        <v>876.5217391304348</v>
      </c>
      <c r="H199" s="78">
        <f>44500*E199</f>
        <v>1614.816</v>
      </c>
      <c r="I199" s="78">
        <f>44500*0.014*144/138</f>
        <v>650.0869565217391</v>
      </c>
      <c r="J199" s="78">
        <f>33000*E199</f>
        <v>1197.5040000000001</v>
      </c>
      <c r="K199" s="78">
        <f>33000*0.014*144/138</f>
        <v>482.0869565217391</v>
      </c>
      <c r="L199" s="78">
        <f>19500*E199</f>
        <v>707.616</v>
      </c>
      <c r="M199" s="83">
        <f>19500*0.014*144/138</f>
        <v>284.8695652173913</v>
      </c>
    </row>
    <row r="200" spans="2:13" ht="15">
      <c r="B200" s="75" t="s">
        <v>176</v>
      </c>
      <c r="C200" s="76">
        <v>6</v>
      </c>
      <c r="D200" s="77">
        <v>3.312</v>
      </c>
      <c r="E200" s="80">
        <v>0.048384</v>
      </c>
      <c r="F200" s="78">
        <f>60000*E200</f>
        <v>2903.0400000000004</v>
      </c>
      <c r="G200" s="78">
        <f>60000*0.014*144/138</f>
        <v>876.5217391304348</v>
      </c>
      <c r="H200" s="78">
        <f>44500*E200</f>
        <v>2153.088</v>
      </c>
      <c r="I200" s="78">
        <f>44500*0.014*144/138</f>
        <v>650.0869565217391</v>
      </c>
      <c r="J200" s="78">
        <f>33000*E200</f>
        <v>1596.672</v>
      </c>
      <c r="K200" s="78">
        <f>33000*0.014*144/138</f>
        <v>482.0869565217391</v>
      </c>
      <c r="L200" s="78">
        <f>19500*E200</f>
        <v>943.488</v>
      </c>
      <c r="M200" s="83">
        <f>19500*0.014*144/138</f>
        <v>284.8695652173913</v>
      </c>
    </row>
    <row r="201" spans="2:13" ht="15">
      <c r="B201" s="214" t="s">
        <v>248</v>
      </c>
      <c r="C201" s="215"/>
      <c r="D201" s="215"/>
      <c r="E201" s="216"/>
      <c r="F201" s="203">
        <v>51500</v>
      </c>
      <c r="G201" s="203"/>
      <c r="H201" s="203">
        <v>39500</v>
      </c>
      <c r="I201" s="203"/>
      <c r="J201" s="203">
        <v>26500</v>
      </c>
      <c r="K201" s="203"/>
      <c r="L201" s="203">
        <v>17000</v>
      </c>
      <c r="M201" s="210"/>
    </row>
    <row r="202" spans="2:13" ht="15.75" thickBot="1">
      <c r="B202" s="205" t="s">
        <v>249</v>
      </c>
      <c r="C202" s="206"/>
      <c r="D202" s="206"/>
      <c r="E202" s="207"/>
      <c r="F202" s="191">
        <v>60000</v>
      </c>
      <c r="G202" s="191"/>
      <c r="H202" s="191">
        <v>44500</v>
      </c>
      <c r="I202" s="191"/>
      <c r="J202" s="191">
        <v>33000</v>
      </c>
      <c r="K202" s="191"/>
      <c r="L202" s="191">
        <v>19500</v>
      </c>
      <c r="M202" s="208"/>
    </row>
    <row r="203" spans="2:13" ht="15.75" thickBot="1">
      <c r="B203" s="84"/>
      <c r="C203" s="84"/>
      <c r="D203" s="85"/>
      <c r="E203" s="86"/>
      <c r="F203" s="87"/>
      <c r="G203" s="88"/>
      <c r="H203" s="87"/>
      <c r="I203" s="88"/>
      <c r="J203" s="87"/>
      <c r="K203" s="89"/>
      <c r="L203" s="87"/>
      <c r="M203" s="88"/>
    </row>
    <row r="204" spans="2:13" ht="49.5" customHeight="1">
      <c r="B204" s="181" t="s">
        <v>76</v>
      </c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3"/>
    </row>
    <row r="205" spans="2:13" ht="15">
      <c r="B205" s="184" t="s">
        <v>1</v>
      </c>
      <c r="C205" s="185" t="s">
        <v>117</v>
      </c>
      <c r="D205" s="185" t="s">
        <v>118</v>
      </c>
      <c r="E205" s="353" t="s">
        <v>167</v>
      </c>
      <c r="F205" s="197" t="s">
        <v>166</v>
      </c>
      <c r="G205" s="197"/>
      <c r="H205" s="197" t="s">
        <v>2</v>
      </c>
      <c r="I205" s="197"/>
      <c r="J205" s="197" t="s">
        <v>3</v>
      </c>
      <c r="K205" s="197"/>
      <c r="L205" s="197" t="s">
        <v>4</v>
      </c>
      <c r="M205" s="198"/>
    </row>
    <row r="206" spans="2:13" ht="16.5">
      <c r="B206" s="184"/>
      <c r="C206" s="185"/>
      <c r="D206" s="185"/>
      <c r="E206" s="353"/>
      <c r="F206" s="97" t="s">
        <v>216</v>
      </c>
      <c r="G206" s="97" t="s">
        <v>113</v>
      </c>
      <c r="H206" s="97" t="s">
        <v>216</v>
      </c>
      <c r="I206" s="97" t="s">
        <v>113</v>
      </c>
      <c r="J206" s="97" t="s">
        <v>216</v>
      </c>
      <c r="K206" s="97" t="s">
        <v>113</v>
      </c>
      <c r="L206" s="97" t="s">
        <v>216</v>
      </c>
      <c r="M206" s="82" t="s">
        <v>113</v>
      </c>
    </row>
    <row r="207" spans="2:13" ht="15">
      <c r="B207" s="75" t="s">
        <v>256</v>
      </c>
      <c r="C207" s="115">
        <v>4</v>
      </c>
      <c r="D207" s="119">
        <v>1.62</v>
      </c>
      <c r="E207" s="116">
        <v>0.041184</v>
      </c>
      <c r="F207" s="117">
        <f>49500*E207</f>
        <v>2038.608</v>
      </c>
      <c r="G207" s="117">
        <f>49500*0.024*143/135</f>
        <v>1258.4</v>
      </c>
      <c r="H207" s="115" t="s">
        <v>16</v>
      </c>
      <c r="I207" s="115" t="s">
        <v>16</v>
      </c>
      <c r="J207" s="117">
        <f>24000*E207</f>
        <v>988.4159999999999</v>
      </c>
      <c r="K207" s="117">
        <f>24000*0.024*143/135</f>
        <v>610.1333333333333</v>
      </c>
      <c r="L207" s="115" t="s">
        <v>16</v>
      </c>
      <c r="M207" s="82" t="s">
        <v>16</v>
      </c>
    </row>
    <row r="208" spans="2:13" ht="15">
      <c r="B208" s="75" t="s">
        <v>257</v>
      </c>
      <c r="C208" s="115">
        <v>4</v>
      </c>
      <c r="D208" s="119">
        <v>2.16</v>
      </c>
      <c r="E208" s="116">
        <v>0.054912</v>
      </c>
      <c r="F208" s="117">
        <f>49500*E208</f>
        <v>2718.1440000000002</v>
      </c>
      <c r="G208" s="117">
        <f>49500*0.024*143/135</f>
        <v>1258.4</v>
      </c>
      <c r="H208" s="115" t="s">
        <v>16</v>
      </c>
      <c r="I208" s="115" t="s">
        <v>16</v>
      </c>
      <c r="J208" s="117">
        <f>24000*E208</f>
        <v>1317.8880000000001</v>
      </c>
      <c r="K208" s="117">
        <f>24000*0.024*143/135</f>
        <v>610.1333333333333</v>
      </c>
      <c r="L208" s="115" t="s">
        <v>16</v>
      </c>
      <c r="M208" s="82" t="s">
        <v>16</v>
      </c>
    </row>
    <row r="209" spans="2:13" ht="15">
      <c r="B209" s="75" t="s">
        <v>177</v>
      </c>
      <c r="C209" s="76">
        <v>4</v>
      </c>
      <c r="D209" s="77">
        <v>1.512</v>
      </c>
      <c r="E209" s="80">
        <v>0.0425736</v>
      </c>
      <c r="F209" s="78">
        <f>49500*E209</f>
        <v>2107.3932</v>
      </c>
      <c r="G209" s="78">
        <f>49500*0.027*146/140</f>
        <v>1393.7785714285715</v>
      </c>
      <c r="H209" s="78">
        <f>39500*E209</f>
        <v>1681.6572</v>
      </c>
      <c r="I209" s="78">
        <f>39500*0.027*146/140</f>
        <v>1112.2071428571428</v>
      </c>
      <c r="J209" s="78">
        <f>24000*E209</f>
        <v>1021.7664000000001</v>
      </c>
      <c r="K209" s="78">
        <f>24000*0.027*146/140</f>
        <v>675.7714285714286</v>
      </c>
      <c r="L209" s="78">
        <f>17000*E209</f>
        <v>723.7512</v>
      </c>
      <c r="M209" s="83">
        <f>17000*0.027*146/140</f>
        <v>478.6714285714286</v>
      </c>
    </row>
    <row r="210" spans="2:13" ht="15">
      <c r="B210" s="75" t="s">
        <v>178</v>
      </c>
      <c r="C210" s="76">
        <v>4</v>
      </c>
      <c r="D210" s="77">
        <v>1.68</v>
      </c>
      <c r="E210" s="80">
        <v>0.047304</v>
      </c>
      <c r="F210" s="78">
        <f>49500*E210</f>
        <v>2341.548</v>
      </c>
      <c r="G210" s="78">
        <f>49500*0.027*146/140</f>
        <v>1393.7785714285715</v>
      </c>
      <c r="H210" s="78">
        <f>39500*E210</f>
        <v>1868.508</v>
      </c>
      <c r="I210" s="78">
        <f>39500*0.027*146/140</f>
        <v>1112.2071428571428</v>
      </c>
      <c r="J210" s="78">
        <f>24000*E210</f>
        <v>1135.296</v>
      </c>
      <c r="K210" s="78">
        <f>24000*0.027*146/140</f>
        <v>675.7714285714286</v>
      </c>
      <c r="L210" s="78">
        <f>17000*E210</f>
        <v>804.168</v>
      </c>
      <c r="M210" s="83">
        <f>17000*0.027*146/140</f>
        <v>478.6714285714286</v>
      </c>
    </row>
    <row r="211" spans="2:13" ht="15">
      <c r="B211" s="75" t="s">
        <v>179</v>
      </c>
      <c r="C211" s="76">
        <v>4</v>
      </c>
      <c r="D211" s="77">
        <v>2.24</v>
      </c>
      <c r="E211" s="80">
        <v>0.063072</v>
      </c>
      <c r="F211" s="78">
        <f>49500*E211</f>
        <v>3122.0640000000003</v>
      </c>
      <c r="G211" s="78">
        <f>49500*0.027*146/140</f>
        <v>1393.7785714285715</v>
      </c>
      <c r="H211" s="78">
        <f>39500*E211</f>
        <v>2491.344</v>
      </c>
      <c r="I211" s="78">
        <f>39500*0.027*146/140</f>
        <v>1112.2071428571428</v>
      </c>
      <c r="J211" s="78">
        <f>24000*E211</f>
        <v>1513.728</v>
      </c>
      <c r="K211" s="78">
        <f>24000*0.027*146/140</f>
        <v>675.7714285714286</v>
      </c>
      <c r="L211" s="78">
        <f>17000*E211</f>
        <v>1072.2240000000002</v>
      </c>
      <c r="M211" s="83">
        <f>17000*0.027*146/140</f>
        <v>478.6714285714286</v>
      </c>
    </row>
    <row r="212" spans="2:13" ht="15">
      <c r="B212" s="101" t="s">
        <v>217</v>
      </c>
      <c r="C212" s="102">
        <v>5</v>
      </c>
      <c r="D212" s="103">
        <v>1.72</v>
      </c>
      <c r="E212" s="104">
        <v>0.0564</v>
      </c>
      <c r="F212" s="105" t="s">
        <v>16</v>
      </c>
      <c r="G212" s="105" t="s">
        <v>16</v>
      </c>
      <c r="H212" s="105">
        <f>36000*E212</f>
        <v>2030.3999999999999</v>
      </c>
      <c r="I212" s="105">
        <f>36000*0.03*94/86</f>
        <v>1180.4651162790697</v>
      </c>
      <c r="J212" s="105">
        <f>23000*E212</f>
        <v>1297.2</v>
      </c>
      <c r="K212" s="105">
        <f>23000*0.03*94/86</f>
        <v>754.1860465116279</v>
      </c>
      <c r="L212" s="105" t="s">
        <v>16</v>
      </c>
      <c r="M212" s="106" t="s">
        <v>16</v>
      </c>
    </row>
    <row r="213" spans="2:13" ht="15">
      <c r="B213" s="186" t="s">
        <v>250</v>
      </c>
      <c r="C213" s="187"/>
      <c r="D213" s="187"/>
      <c r="E213" s="187"/>
      <c r="F213" s="199">
        <v>49500</v>
      </c>
      <c r="G213" s="200"/>
      <c r="H213" s="199">
        <v>39500</v>
      </c>
      <c r="I213" s="200"/>
      <c r="J213" s="199">
        <v>24000</v>
      </c>
      <c r="K213" s="200"/>
      <c r="L213" s="199">
        <v>17000</v>
      </c>
      <c r="M213" s="209"/>
    </row>
    <row r="214" spans="2:13" ht="15.75" thickBot="1">
      <c r="B214" s="192" t="s">
        <v>251</v>
      </c>
      <c r="C214" s="193"/>
      <c r="D214" s="193"/>
      <c r="E214" s="193"/>
      <c r="F214" s="194" t="s">
        <v>16</v>
      </c>
      <c r="G214" s="196"/>
      <c r="H214" s="194">
        <v>36000</v>
      </c>
      <c r="I214" s="196"/>
      <c r="J214" s="194">
        <v>23000</v>
      </c>
      <c r="K214" s="196"/>
      <c r="L214" s="194" t="s">
        <v>16</v>
      </c>
      <c r="M214" s="195"/>
    </row>
    <row r="215" spans="2:13" ht="15.75" thickBot="1">
      <c r="B215" s="107"/>
      <c r="C215" s="107"/>
      <c r="D215" s="108"/>
      <c r="E215" s="109"/>
      <c r="F215" s="110"/>
      <c r="G215" s="110"/>
      <c r="H215" s="110"/>
      <c r="I215" s="110"/>
      <c r="J215" s="110"/>
      <c r="K215" s="110"/>
      <c r="L215" s="110"/>
      <c r="M215" s="110"/>
    </row>
    <row r="216" spans="2:13" ht="34.5" customHeight="1">
      <c r="B216" s="181" t="s">
        <v>225</v>
      </c>
      <c r="C216" s="182"/>
      <c r="D216" s="182"/>
      <c r="E216" s="182"/>
      <c r="F216" s="182"/>
      <c r="G216" s="182"/>
      <c r="H216" s="182"/>
      <c r="I216" s="182"/>
      <c r="J216" s="182"/>
      <c r="K216" s="182"/>
      <c r="L216" s="182"/>
      <c r="M216" s="183"/>
    </row>
    <row r="217" spans="2:13" ht="15">
      <c r="B217" s="184" t="s">
        <v>1</v>
      </c>
      <c r="C217" s="185" t="s">
        <v>117</v>
      </c>
      <c r="D217" s="185" t="s">
        <v>118</v>
      </c>
      <c r="E217" s="353" t="s">
        <v>167</v>
      </c>
      <c r="F217" s="197" t="s">
        <v>166</v>
      </c>
      <c r="G217" s="197"/>
      <c r="H217" s="197" t="s">
        <v>2</v>
      </c>
      <c r="I217" s="197"/>
      <c r="J217" s="197" t="s">
        <v>3</v>
      </c>
      <c r="K217" s="197"/>
      <c r="L217" s="197" t="s">
        <v>4</v>
      </c>
      <c r="M217" s="198"/>
    </row>
    <row r="218" spans="2:13" ht="16.5">
      <c r="B218" s="184"/>
      <c r="C218" s="185"/>
      <c r="D218" s="185"/>
      <c r="E218" s="353"/>
      <c r="F218" s="99" t="s">
        <v>216</v>
      </c>
      <c r="G218" s="99" t="s">
        <v>113</v>
      </c>
      <c r="H218" s="99" t="s">
        <v>216</v>
      </c>
      <c r="I218" s="99" t="s">
        <v>113</v>
      </c>
      <c r="J218" s="99" t="s">
        <v>216</v>
      </c>
      <c r="K218" s="99" t="s">
        <v>113</v>
      </c>
      <c r="L218" s="99" t="s">
        <v>216</v>
      </c>
      <c r="M218" s="82" t="s">
        <v>113</v>
      </c>
    </row>
    <row r="219" spans="2:13" ht="15">
      <c r="B219" s="75" t="s">
        <v>226</v>
      </c>
      <c r="C219" s="76">
        <v>4</v>
      </c>
      <c r="D219" s="77">
        <v>1.4904</v>
      </c>
      <c r="E219" s="80">
        <v>0.03888</v>
      </c>
      <c r="F219" s="78">
        <f>49500*E219</f>
        <v>1924.56</v>
      </c>
      <c r="G219" s="78">
        <f>49500*0.025*0.144/0.138</f>
        <v>1291.3043478260868</v>
      </c>
      <c r="H219" s="78">
        <f>39600*E219</f>
        <v>1539.648</v>
      </c>
      <c r="I219" s="78">
        <f>39600*0.025*0.144/0.138</f>
        <v>1033.0434782608695</v>
      </c>
      <c r="J219" s="78">
        <f>24000*E219</f>
        <v>933.12</v>
      </c>
      <c r="K219" s="78">
        <f>24000*0.025*0.144/0.138</f>
        <v>626.086956521739</v>
      </c>
      <c r="L219" s="78">
        <f>17000*E219</f>
        <v>660.9599999999999</v>
      </c>
      <c r="M219" s="83">
        <f>17000*0.025*0.144/0.138</f>
        <v>443.47826086956513</v>
      </c>
    </row>
    <row r="220" spans="2:13" ht="15">
      <c r="B220" s="75" t="s">
        <v>227</v>
      </c>
      <c r="C220" s="76">
        <v>4</v>
      </c>
      <c r="D220" s="77">
        <v>1.656</v>
      </c>
      <c r="E220" s="80">
        <v>0.0432</v>
      </c>
      <c r="F220" s="78">
        <f>49500*E220</f>
        <v>2138.4</v>
      </c>
      <c r="G220" s="78">
        <f>49500*0.025*0.144/0.138</f>
        <v>1291.3043478260868</v>
      </c>
      <c r="H220" s="78">
        <f>39600*E220</f>
        <v>1710.72</v>
      </c>
      <c r="I220" s="78">
        <f>39600*0.025*0.144/0.138</f>
        <v>1033.0434782608695</v>
      </c>
      <c r="J220" s="78">
        <f>24000*E220</f>
        <v>1036.8</v>
      </c>
      <c r="K220" s="78">
        <f>24000*0.025*0.144/0.138</f>
        <v>626.086956521739</v>
      </c>
      <c r="L220" s="78">
        <f>17000*E220</f>
        <v>734.4000000000001</v>
      </c>
      <c r="M220" s="83">
        <f>17000*0.025*0.144/0.138</f>
        <v>443.47826086956513</v>
      </c>
    </row>
    <row r="221" spans="2:13" ht="15">
      <c r="B221" s="101" t="s">
        <v>228</v>
      </c>
      <c r="C221" s="102">
        <v>4</v>
      </c>
      <c r="D221" s="103">
        <v>2.208</v>
      </c>
      <c r="E221" s="104">
        <v>0.0576</v>
      </c>
      <c r="F221" s="105">
        <f>49500*E221</f>
        <v>2851.2</v>
      </c>
      <c r="G221" s="105">
        <f>49500*0.025*0.144/0.138</f>
        <v>1291.3043478260868</v>
      </c>
      <c r="H221" s="105">
        <f>39600*E221</f>
        <v>2280.96</v>
      </c>
      <c r="I221" s="105">
        <f>39600*0.025*0.144/0.138</f>
        <v>1033.0434782608695</v>
      </c>
      <c r="J221" s="105">
        <f>24000*E221</f>
        <v>1382.3999999999999</v>
      </c>
      <c r="K221" s="105">
        <f>24000*0.025*0.144/0.138</f>
        <v>626.086956521739</v>
      </c>
      <c r="L221" s="105">
        <f>17000*E221</f>
        <v>979.1999999999999</v>
      </c>
      <c r="M221" s="106">
        <f>17000*0.025*0.144/0.138</f>
        <v>443.47826086956513</v>
      </c>
    </row>
    <row r="222" spans="2:13" ht="15.75" thickBot="1">
      <c r="B222" s="192" t="s">
        <v>252</v>
      </c>
      <c r="C222" s="193"/>
      <c r="D222" s="193"/>
      <c r="E222" s="193"/>
      <c r="F222" s="194">
        <v>49500</v>
      </c>
      <c r="G222" s="196"/>
      <c r="H222" s="194">
        <v>39600</v>
      </c>
      <c r="I222" s="196"/>
      <c r="J222" s="194">
        <v>24000</v>
      </c>
      <c r="K222" s="196"/>
      <c r="L222" s="194">
        <v>17000</v>
      </c>
      <c r="M222" s="195"/>
    </row>
    <row r="223" spans="2:13" ht="15.75" thickBot="1">
      <c r="B223" s="84"/>
      <c r="C223" s="84"/>
      <c r="D223" s="85"/>
      <c r="E223" s="86"/>
      <c r="F223" s="87"/>
      <c r="G223" s="88"/>
      <c r="H223" s="87"/>
      <c r="I223" s="88"/>
      <c r="J223" s="87"/>
      <c r="K223" s="89"/>
      <c r="L223" s="87"/>
      <c r="M223" s="88"/>
    </row>
    <row r="224" spans="2:13" ht="39" customHeight="1">
      <c r="B224" s="181" t="s">
        <v>74</v>
      </c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3"/>
    </row>
    <row r="225" spans="2:13" ht="15">
      <c r="B225" s="184" t="s">
        <v>1</v>
      </c>
      <c r="C225" s="185" t="s">
        <v>117</v>
      </c>
      <c r="D225" s="185" t="s">
        <v>118</v>
      </c>
      <c r="E225" s="353" t="s">
        <v>167</v>
      </c>
      <c r="F225" s="197" t="s">
        <v>166</v>
      </c>
      <c r="G225" s="197"/>
      <c r="H225" s="197" t="s">
        <v>2</v>
      </c>
      <c r="I225" s="197"/>
      <c r="J225" s="197" t="s">
        <v>3</v>
      </c>
      <c r="K225" s="197"/>
      <c r="L225" s="197" t="s">
        <v>4</v>
      </c>
      <c r="M225" s="198"/>
    </row>
    <row r="226" spans="2:13" ht="16.5">
      <c r="B226" s="184"/>
      <c r="C226" s="185"/>
      <c r="D226" s="185"/>
      <c r="E226" s="353"/>
      <c r="F226" s="100" t="s">
        <v>216</v>
      </c>
      <c r="G226" s="100" t="s">
        <v>113</v>
      </c>
      <c r="H226" s="100" t="s">
        <v>216</v>
      </c>
      <c r="I226" s="100" t="s">
        <v>113</v>
      </c>
      <c r="J226" s="100" t="s">
        <v>216</v>
      </c>
      <c r="K226" s="100" t="s">
        <v>113</v>
      </c>
      <c r="L226" s="100" t="s">
        <v>216</v>
      </c>
      <c r="M226" s="82" t="s">
        <v>113</v>
      </c>
    </row>
    <row r="227" spans="2:13" ht="15">
      <c r="B227" s="75" t="s">
        <v>180</v>
      </c>
      <c r="C227" s="76">
        <v>4</v>
      </c>
      <c r="D227" s="77">
        <v>1.68</v>
      </c>
      <c r="E227" s="80">
        <v>0.042</v>
      </c>
      <c r="F227" s="78">
        <f aca="true" t="shared" si="7" ref="F227:F234">51500*E227</f>
        <v>2163</v>
      </c>
      <c r="G227" s="78">
        <f>51500*0.025</f>
        <v>1287.5</v>
      </c>
      <c r="H227" s="78">
        <f aca="true" t="shared" si="8" ref="H227:H234">41500*E227</f>
        <v>1743</v>
      </c>
      <c r="I227" s="78">
        <f>41500*0.025</f>
        <v>1037.5</v>
      </c>
      <c r="J227" s="78">
        <f aca="true" t="shared" si="9" ref="J227:J234">25000*E227</f>
        <v>1050</v>
      </c>
      <c r="K227" s="78">
        <f>25000*0.025</f>
        <v>625</v>
      </c>
      <c r="L227" s="78">
        <f aca="true" t="shared" si="10" ref="L227:L234">17500*E227</f>
        <v>735</v>
      </c>
      <c r="M227" s="83">
        <f>17500*0.025</f>
        <v>437.5</v>
      </c>
    </row>
    <row r="228" spans="2:13" ht="15">
      <c r="B228" s="75" t="s">
        <v>181</v>
      </c>
      <c r="C228" s="76">
        <v>4</v>
      </c>
      <c r="D228" s="77">
        <v>1.32</v>
      </c>
      <c r="E228" s="80">
        <v>0.03564</v>
      </c>
      <c r="F228" s="78">
        <f t="shared" si="7"/>
        <v>1835.4599999999998</v>
      </c>
      <c r="G228" s="78">
        <f>51500*0.027</f>
        <v>1390.5</v>
      </c>
      <c r="H228" s="78">
        <f t="shared" si="8"/>
        <v>1479.06</v>
      </c>
      <c r="I228" s="78">
        <f>41500*0.027</f>
        <v>1120.5</v>
      </c>
      <c r="J228" s="78">
        <f t="shared" si="9"/>
        <v>891</v>
      </c>
      <c r="K228" s="78">
        <f>25000*0.027</f>
        <v>675</v>
      </c>
      <c r="L228" s="78">
        <f t="shared" si="10"/>
        <v>623.6999999999999</v>
      </c>
      <c r="M228" s="83">
        <f>17500*0.027</f>
        <v>472.5</v>
      </c>
    </row>
    <row r="229" spans="2:13" ht="15">
      <c r="B229" s="75" t="s">
        <v>182</v>
      </c>
      <c r="C229" s="76">
        <v>4</v>
      </c>
      <c r="D229" s="77">
        <v>1.76</v>
      </c>
      <c r="E229" s="80">
        <v>0.04752</v>
      </c>
      <c r="F229" s="78">
        <f t="shared" si="7"/>
        <v>2447.28</v>
      </c>
      <c r="G229" s="78">
        <f>51500*0.027</f>
        <v>1390.5</v>
      </c>
      <c r="H229" s="78">
        <f t="shared" si="8"/>
        <v>1972.08</v>
      </c>
      <c r="I229" s="78">
        <f>41500*0.027</f>
        <v>1120.5</v>
      </c>
      <c r="J229" s="78">
        <f t="shared" si="9"/>
        <v>1188</v>
      </c>
      <c r="K229" s="78">
        <f>25000*0.027</f>
        <v>675</v>
      </c>
      <c r="L229" s="78">
        <f t="shared" si="10"/>
        <v>831.6</v>
      </c>
      <c r="M229" s="83">
        <f>17500*0.027</f>
        <v>472.5</v>
      </c>
    </row>
    <row r="230" spans="2:13" ht="15">
      <c r="B230" s="75" t="s">
        <v>183</v>
      </c>
      <c r="C230" s="76">
        <v>4</v>
      </c>
      <c r="D230" s="77">
        <v>1.512</v>
      </c>
      <c r="E230" s="80">
        <v>0.040824</v>
      </c>
      <c r="F230" s="78">
        <f t="shared" si="7"/>
        <v>2102.436</v>
      </c>
      <c r="G230" s="78">
        <f>51500*0.027</f>
        <v>1390.5</v>
      </c>
      <c r="H230" s="78">
        <f t="shared" si="8"/>
        <v>1694.196</v>
      </c>
      <c r="I230" s="78">
        <f>41500*0.027</f>
        <v>1120.5</v>
      </c>
      <c r="J230" s="78">
        <f t="shared" si="9"/>
        <v>1020.6</v>
      </c>
      <c r="K230" s="78">
        <f>25000*0.027</f>
        <v>675</v>
      </c>
      <c r="L230" s="78">
        <f t="shared" si="10"/>
        <v>714.42</v>
      </c>
      <c r="M230" s="83">
        <f>17500*0.027</f>
        <v>472.5</v>
      </c>
    </row>
    <row r="231" spans="2:13" ht="15">
      <c r="B231" s="75" t="s">
        <v>184</v>
      </c>
      <c r="C231" s="76">
        <v>4</v>
      </c>
      <c r="D231" s="77">
        <v>1.68</v>
      </c>
      <c r="E231" s="80">
        <v>0.04536</v>
      </c>
      <c r="F231" s="78">
        <f t="shared" si="7"/>
        <v>2336.04</v>
      </c>
      <c r="G231" s="78">
        <f>51500*0.027</f>
        <v>1390.5</v>
      </c>
      <c r="H231" s="78">
        <f t="shared" si="8"/>
        <v>1882.4399999999998</v>
      </c>
      <c r="I231" s="78">
        <f>41500*0.027</f>
        <v>1120.5</v>
      </c>
      <c r="J231" s="78">
        <f t="shared" si="9"/>
        <v>1134</v>
      </c>
      <c r="K231" s="78">
        <f>25000*0.027</f>
        <v>675</v>
      </c>
      <c r="L231" s="78">
        <f t="shared" si="10"/>
        <v>793.8</v>
      </c>
      <c r="M231" s="83">
        <f>17500*0.027</f>
        <v>472.5</v>
      </c>
    </row>
    <row r="232" spans="2:13" ht="15">
      <c r="B232" s="75" t="s">
        <v>185</v>
      </c>
      <c r="C232" s="76">
        <v>4</v>
      </c>
      <c r="D232" s="77">
        <v>2.24</v>
      </c>
      <c r="E232" s="80">
        <v>0.06048</v>
      </c>
      <c r="F232" s="78">
        <f t="shared" si="7"/>
        <v>3114.72</v>
      </c>
      <c r="G232" s="78">
        <f>51500*0.027</f>
        <v>1390.5</v>
      </c>
      <c r="H232" s="78">
        <f t="shared" si="8"/>
        <v>2509.92</v>
      </c>
      <c r="I232" s="78">
        <f>41500*0.027</f>
        <v>1120.5</v>
      </c>
      <c r="J232" s="78">
        <f t="shared" si="9"/>
        <v>1512</v>
      </c>
      <c r="K232" s="78">
        <f>25000*0.027</f>
        <v>675</v>
      </c>
      <c r="L232" s="78">
        <f t="shared" si="10"/>
        <v>1058.4</v>
      </c>
      <c r="M232" s="83">
        <f>17500*0.027</f>
        <v>472.5</v>
      </c>
    </row>
    <row r="233" spans="2:13" ht="15">
      <c r="B233" s="75" t="s">
        <v>229</v>
      </c>
      <c r="C233" s="102">
        <v>4</v>
      </c>
      <c r="D233" s="103">
        <v>2.24</v>
      </c>
      <c r="E233" s="104">
        <v>0.07168</v>
      </c>
      <c r="F233" s="105">
        <f t="shared" si="7"/>
        <v>3691.5199999999995</v>
      </c>
      <c r="G233" s="78">
        <f>51500*0.032</f>
        <v>1648</v>
      </c>
      <c r="H233" s="105">
        <f t="shared" si="8"/>
        <v>2974.72</v>
      </c>
      <c r="I233" s="78">
        <f>41500*0.032</f>
        <v>1328</v>
      </c>
      <c r="J233" s="105">
        <f t="shared" si="9"/>
        <v>1791.9999999999998</v>
      </c>
      <c r="K233" s="78">
        <f>25000*0.032</f>
        <v>800</v>
      </c>
      <c r="L233" s="105">
        <f t="shared" si="10"/>
        <v>1254.3999999999999</v>
      </c>
      <c r="M233" s="83">
        <f>17500*0.032</f>
        <v>560</v>
      </c>
    </row>
    <row r="234" spans="2:13" ht="15">
      <c r="B234" s="101" t="s">
        <v>186</v>
      </c>
      <c r="C234" s="102">
        <v>2</v>
      </c>
      <c r="D234" s="103">
        <v>0.84</v>
      </c>
      <c r="E234" s="104">
        <v>0.0378</v>
      </c>
      <c r="F234" s="105">
        <f t="shared" si="7"/>
        <v>1946.7</v>
      </c>
      <c r="G234" s="105">
        <f>51500*0.045</f>
        <v>2317.5</v>
      </c>
      <c r="H234" s="105">
        <f t="shared" si="8"/>
        <v>1568.7</v>
      </c>
      <c r="I234" s="105">
        <f>41500*0.045</f>
        <v>1867.5</v>
      </c>
      <c r="J234" s="105">
        <f t="shared" si="9"/>
        <v>945</v>
      </c>
      <c r="K234" s="105">
        <f>25000*0.045</f>
        <v>1125</v>
      </c>
      <c r="L234" s="105">
        <f t="shared" si="10"/>
        <v>661.5</v>
      </c>
      <c r="M234" s="106">
        <f>17500*0.045</f>
        <v>787.5</v>
      </c>
    </row>
    <row r="235" spans="2:13" ht="15.75" thickBot="1">
      <c r="B235" s="192" t="s">
        <v>253</v>
      </c>
      <c r="C235" s="193"/>
      <c r="D235" s="193"/>
      <c r="E235" s="193"/>
      <c r="F235" s="191">
        <v>51500</v>
      </c>
      <c r="G235" s="191"/>
      <c r="H235" s="191">
        <v>41500</v>
      </c>
      <c r="I235" s="191"/>
      <c r="J235" s="191">
        <v>25000</v>
      </c>
      <c r="K235" s="191"/>
      <c r="L235" s="191">
        <v>17500</v>
      </c>
      <c r="M235" s="208"/>
    </row>
    <row r="236" spans="2:13" ht="15.75" thickBot="1">
      <c r="B236" s="49"/>
      <c r="C236" s="49"/>
      <c r="D236" s="49"/>
      <c r="E236" s="50"/>
      <c r="F236" s="50"/>
      <c r="G236" s="51"/>
      <c r="H236" s="52"/>
      <c r="I236" s="52"/>
      <c r="J236" s="52"/>
      <c r="K236" s="52"/>
      <c r="L236" s="52"/>
      <c r="M236" s="52"/>
    </row>
    <row r="237" spans="2:13" ht="31.5" customHeight="1">
      <c r="B237" s="181" t="s">
        <v>75</v>
      </c>
      <c r="C237" s="182"/>
      <c r="D237" s="182"/>
      <c r="E237" s="182"/>
      <c r="F237" s="182"/>
      <c r="G237" s="182"/>
      <c r="H237" s="182"/>
      <c r="I237" s="182"/>
      <c r="J237" s="182"/>
      <c r="K237" s="182"/>
      <c r="L237" s="182"/>
      <c r="M237" s="183"/>
    </row>
    <row r="238" spans="2:13" ht="15">
      <c r="B238" s="184" t="s">
        <v>1</v>
      </c>
      <c r="C238" s="185" t="s">
        <v>117</v>
      </c>
      <c r="D238" s="185" t="s">
        <v>118</v>
      </c>
      <c r="E238" s="353" t="s">
        <v>167</v>
      </c>
      <c r="F238" s="197" t="s">
        <v>166</v>
      </c>
      <c r="G238" s="197"/>
      <c r="H238" s="197" t="s">
        <v>2</v>
      </c>
      <c r="I238" s="197"/>
      <c r="J238" s="197" t="s">
        <v>3</v>
      </c>
      <c r="K238" s="197"/>
      <c r="L238" s="197" t="s">
        <v>4</v>
      </c>
      <c r="M238" s="198"/>
    </row>
    <row r="239" spans="2:13" ht="16.5">
      <c r="B239" s="184"/>
      <c r="C239" s="185"/>
      <c r="D239" s="185"/>
      <c r="E239" s="353"/>
      <c r="F239" s="100" t="s">
        <v>216</v>
      </c>
      <c r="G239" s="100" t="s">
        <v>113</v>
      </c>
      <c r="H239" s="100" t="s">
        <v>216</v>
      </c>
      <c r="I239" s="100" t="s">
        <v>113</v>
      </c>
      <c r="J239" s="100" t="s">
        <v>216</v>
      </c>
      <c r="K239" s="100" t="s">
        <v>113</v>
      </c>
      <c r="L239" s="100" t="s">
        <v>216</v>
      </c>
      <c r="M239" s="82" t="s">
        <v>113</v>
      </c>
    </row>
    <row r="240" spans="2:13" ht="15">
      <c r="B240" s="75" t="s">
        <v>187</v>
      </c>
      <c r="C240" s="76">
        <v>5</v>
      </c>
      <c r="D240" s="77">
        <v>1.35</v>
      </c>
      <c r="E240" s="80">
        <v>0.027</v>
      </c>
      <c r="F240" s="81" t="s">
        <v>16</v>
      </c>
      <c r="G240" s="78" t="s">
        <v>16</v>
      </c>
      <c r="H240" s="78">
        <f>46000*E240</f>
        <v>1242</v>
      </c>
      <c r="I240" s="78">
        <f>46000*0.02</f>
        <v>920</v>
      </c>
      <c r="J240" s="81" t="s">
        <v>16</v>
      </c>
      <c r="K240" s="78" t="s">
        <v>16</v>
      </c>
      <c r="L240" s="81" t="s">
        <v>16</v>
      </c>
      <c r="M240" s="83" t="s">
        <v>16</v>
      </c>
    </row>
    <row r="241" spans="2:13" ht="15">
      <c r="B241" s="75" t="s">
        <v>188</v>
      </c>
      <c r="C241" s="76">
        <v>5</v>
      </c>
      <c r="D241" s="77">
        <v>1.8</v>
      </c>
      <c r="E241" s="80">
        <v>0.036</v>
      </c>
      <c r="F241" s="81" t="s">
        <v>16</v>
      </c>
      <c r="G241" s="78" t="s">
        <v>16</v>
      </c>
      <c r="H241" s="78">
        <f>46000*E241</f>
        <v>1655.9999999999998</v>
      </c>
      <c r="I241" s="78">
        <f>46000*0.02</f>
        <v>920</v>
      </c>
      <c r="J241" s="81" t="s">
        <v>16</v>
      </c>
      <c r="K241" s="78" t="s">
        <v>16</v>
      </c>
      <c r="L241" s="81" t="s">
        <v>16</v>
      </c>
      <c r="M241" s="83" t="s">
        <v>16</v>
      </c>
    </row>
    <row r="242" spans="2:13" ht="15">
      <c r="B242" s="101" t="s">
        <v>189</v>
      </c>
      <c r="C242" s="102">
        <v>5</v>
      </c>
      <c r="D242" s="103">
        <v>2.8</v>
      </c>
      <c r="E242" s="104">
        <v>0.056</v>
      </c>
      <c r="F242" s="113" t="s">
        <v>16</v>
      </c>
      <c r="G242" s="105" t="s">
        <v>16</v>
      </c>
      <c r="H242" s="105">
        <f>46000*E242</f>
        <v>2576</v>
      </c>
      <c r="I242" s="105">
        <f>46000*0.02</f>
        <v>920</v>
      </c>
      <c r="J242" s="113" t="s">
        <v>16</v>
      </c>
      <c r="K242" s="105" t="s">
        <v>16</v>
      </c>
      <c r="L242" s="113" t="s">
        <v>16</v>
      </c>
      <c r="M242" s="106" t="s">
        <v>16</v>
      </c>
    </row>
    <row r="243" spans="2:13" ht="15.75" thickBot="1">
      <c r="B243" s="192" t="s">
        <v>253</v>
      </c>
      <c r="C243" s="193"/>
      <c r="D243" s="193"/>
      <c r="E243" s="193"/>
      <c r="F243" s="180" t="s">
        <v>16</v>
      </c>
      <c r="G243" s="180"/>
      <c r="H243" s="191">
        <v>46000</v>
      </c>
      <c r="I243" s="191"/>
      <c r="J243" s="180" t="s">
        <v>16</v>
      </c>
      <c r="K243" s="180"/>
      <c r="L243" s="180" t="s">
        <v>16</v>
      </c>
      <c r="M243" s="204"/>
    </row>
    <row r="244" spans="2:13" ht="15.75" thickBot="1">
      <c r="B244" s="49"/>
      <c r="C244" s="49"/>
      <c r="D244" s="49"/>
      <c r="E244" s="50"/>
      <c r="F244" s="50"/>
      <c r="G244" s="51"/>
      <c r="H244" s="52"/>
      <c r="I244" s="52"/>
      <c r="J244" s="52"/>
      <c r="K244" s="52"/>
      <c r="L244" s="52"/>
      <c r="M244" s="52"/>
    </row>
    <row r="245" spans="2:13" ht="36" customHeight="1">
      <c r="B245" s="181" t="s">
        <v>106</v>
      </c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3"/>
    </row>
    <row r="246" spans="2:13" ht="15">
      <c r="B246" s="184" t="s">
        <v>1</v>
      </c>
      <c r="C246" s="185" t="s">
        <v>117</v>
      </c>
      <c r="D246" s="185" t="s">
        <v>118</v>
      </c>
      <c r="E246" s="353" t="s">
        <v>167</v>
      </c>
      <c r="F246" s="197" t="s">
        <v>166</v>
      </c>
      <c r="G246" s="197"/>
      <c r="H246" s="197" t="s">
        <v>2</v>
      </c>
      <c r="I246" s="197"/>
      <c r="J246" s="197" t="s">
        <v>3</v>
      </c>
      <c r="K246" s="197"/>
      <c r="L246" s="197" t="s">
        <v>4</v>
      </c>
      <c r="M246" s="198"/>
    </row>
    <row r="247" spans="2:13" ht="16.5">
      <c r="B247" s="184"/>
      <c r="C247" s="185"/>
      <c r="D247" s="185"/>
      <c r="E247" s="353"/>
      <c r="F247" s="96" t="s">
        <v>216</v>
      </c>
      <c r="G247" s="74" t="s">
        <v>113</v>
      </c>
      <c r="H247" s="96" t="s">
        <v>216</v>
      </c>
      <c r="I247" s="74" t="s">
        <v>113</v>
      </c>
      <c r="J247" s="96" t="s">
        <v>216</v>
      </c>
      <c r="K247" s="74" t="s">
        <v>113</v>
      </c>
      <c r="L247" s="96" t="s">
        <v>216</v>
      </c>
      <c r="M247" s="82" t="s">
        <v>113</v>
      </c>
    </row>
    <row r="248" spans="2:13" ht="15">
      <c r="B248" s="75" t="s">
        <v>171</v>
      </c>
      <c r="C248" s="76">
        <v>6</v>
      </c>
      <c r="D248" s="77">
        <v>1.782</v>
      </c>
      <c r="E248" s="80">
        <v>0.0263088</v>
      </c>
      <c r="F248" s="78">
        <f>38000*E248</f>
        <v>999.7344</v>
      </c>
      <c r="G248" s="78">
        <f>38000*0.014*116/110</f>
        <v>561.0181818181818</v>
      </c>
      <c r="H248" s="78">
        <f>33500*E248</f>
        <v>881.3448</v>
      </c>
      <c r="I248" s="78">
        <f>33500*0.014*116/110</f>
        <v>494.58181818181816</v>
      </c>
      <c r="J248" s="81" t="s">
        <v>16</v>
      </c>
      <c r="K248" s="79" t="s">
        <v>16</v>
      </c>
      <c r="L248" s="81" t="s">
        <v>16</v>
      </c>
      <c r="M248" s="83" t="s">
        <v>16</v>
      </c>
    </row>
    <row r="249" spans="2:13" ht="15">
      <c r="B249" s="75" t="s">
        <v>172</v>
      </c>
      <c r="C249" s="76">
        <v>6</v>
      </c>
      <c r="D249" s="77">
        <v>1.98</v>
      </c>
      <c r="E249" s="80">
        <v>0.029232</v>
      </c>
      <c r="F249" s="78">
        <f>38000*E249</f>
        <v>1110.816</v>
      </c>
      <c r="G249" s="78">
        <f>38000*0.014*116/110</f>
        <v>561.0181818181818</v>
      </c>
      <c r="H249" s="78">
        <f>33500*E249</f>
        <v>979.272</v>
      </c>
      <c r="I249" s="78">
        <f>33500*0.014*116/110</f>
        <v>494.58181818181816</v>
      </c>
      <c r="J249" s="81" t="s">
        <v>16</v>
      </c>
      <c r="K249" s="79" t="s">
        <v>16</v>
      </c>
      <c r="L249" s="81" t="s">
        <v>16</v>
      </c>
      <c r="M249" s="83" t="s">
        <v>16</v>
      </c>
    </row>
    <row r="250" spans="2:13" ht="15">
      <c r="B250" s="75" t="s">
        <v>173</v>
      </c>
      <c r="C250" s="76">
        <v>6</v>
      </c>
      <c r="D250" s="77">
        <v>2.64</v>
      </c>
      <c r="E250" s="80">
        <v>0.038976</v>
      </c>
      <c r="F250" s="78">
        <f>38000*E250</f>
        <v>1481.088</v>
      </c>
      <c r="G250" s="78">
        <f>38000*0.014*116/110</f>
        <v>561.0181818181818</v>
      </c>
      <c r="H250" s="78">
        <f>33500*E250</f>
        <v>1305.696</v>
      </c>
      <c r="I250" s="78">
        <f>33500*0.014*116/110</f>
        <v>494.58181818181816</v>
      </c>
      <c r="J250" s="81" t="s">
        <v>16</v>
      </c>
      <c r="K250" s="79" t="s">
        <v>16</v>
      </c>
      <c r="L250" s="81" t="s">
        <v>16</v>
      </c>
      <c r="M250" s="83" t="s">
        <v>16</v>
      </c>
    </row>
    <row r="251" spans="2:13" ht="15">
      <c r="B251" s="75" t="s">
        <v>233</v>
      </c>
      <c r="C251" s="76">
        <v>6</v>
      </c>
      <c r="D251" s="77">
        <v>2.106</v>
      </c>
      <c r="E251" s="80">
        <v>0.0308448</v>
      </c>
      <c r="F251" s="81" t="s">
        <v>16</v>
      </c>
      <c r="G251" s="78" t="s">
        <v>16</v>
      </c>
      <c r="H251" s="78">
        <f>37000*E251</f>
        <v>1141.2576</v>
      </c>
      <c r="I251" s="78">
        <f>37000*0.014*136/130</f>
        <v>541.9076923076923</v>
      </c>
      <c r="J251" s="81" t="s">
        <v>16</v>
      </c>
      <c r="K251" s="79" t="s">
        <v>16</v>
      </c>
      <c r="L251" s="81" t="s">
        <v>16</v>
      </c>
      <c r="M251" s="83" t="s">
        <v>16</v>
      </c>
    </row>
    <row r="252" spans="2:13" ht="15">
      <c r="B252" s="75" t="s">
        <v>234</v>
      </c>
      <c r="C252" s="76">
        <v>6</v>
      </c>
      <c r="D252" s="77">
        <v>2.34</v>
      </c>
      <c r="E252" s="80">
        <v>0.034272</v>
      </c>
      <c r="F252" s="81" t="s">
        <v>16</v>
      </c>
      <c r="G252" s="78" t="s">
        <v>16</v>
      </c>
      <c r="H252" s="78">
        <f>37000*E252</f>
        <v>1268.0639999999999</v>
      </c>
      <c r="I252" s="78">
        <f>37000*0.014*136/130</f>
        <v>541.9076923076923</v>
      </c>
      <c r="J252" s="81" t="s">
        <v>16</v>
      </c>
      <c r="K252" s="79" t="s">
        <v>16</v>
      </c>
      <c r="L252" s="81" t="s">
        <v>16</v>
      </c>
      <c r="M252" s="83" t="s">
        <v>16</v>
      </c>
    </row>
    <row r="253" spans="2:13" ht="15">
      <c r="B253" s="101" t="s">
        <v>235</v>
      </c>
      <c r="C253" s="102">
        <v>6</v>
      </c>
      <c r="D253" s="103">
        <v>3.12</v>
      </c>
      <c r="E253" s="104">
        <v>0.045696</v>
      </c>
      <c r="F253" s="113" t="s">
        <v>16</v>
      </c>
      <c r="G253" s="105" t="s">
        <v>16</v>
      </c>
      <c r="H253" s="105">
        <f>37000*E253</f>
        <v>1690.752</v>
      </c>
      <c r="I253" s="105">
        <f>37000*0.014*136/130</f>
        <v>541.9076923076923</v>
      </c>
      <c r="J253" s="113" t="s">
        <v>16</v>
      </c>
      <c r="K253" s="114" t="s">
        <v>16</v>
      </c>
      <c r="L253" s="113" t="s">
        <v>16</v>
      </c>
      <c r="M253" s="106" t="s">
        <v>16</v>
      </c>
    </row>
    <row r="254" spans="2:13" ht="15">
      <c r="B254" s="186" t="s">
        <v>248</v>
      </c>
      <c r="C254" s="187"/>
      <c r="D254" s="187"/>
      <c r="E254" s="187"/>
      <c r="F254" s="201">
        <v>38000</v>
      </c>
      <c r="G254" s="201"/>
      <c r="H254" s="203">
        <v>33500</v>
      </c>
      <c r="I254" s="203"/>
      <c r="J254" s="201" t="s">
        <v>16</v>
      </c>
      <c r="K254" s="201"/>
      <c r="L254" s="201" t="s">
        <v>16</v>
      </c>
      <c r="M254" s="202"/>
    </row>
    <row r="255" spans="2:13" ht="15.75" thickBot="1">
      <c r="B255" s="188" t="s">
        <v>254</v>
      </c>
      <c r="C255" s="189"/>
      <c r="D255" s="189"/>
      <c r="E255" s="189"/>
      <c r="F255" s="179" t="s">
        <v>16</v>
      </c>
      <c r="G255" s="179"/>
      <c r="H255" s="191">
        <v>37000</v>
      </c>
      <c r="I255" s="191"/>
      <c r="J255" s="179" t="s">
        <v>16</v>
      </c>
      <c r="K255" s="179"/>
      <c r="L255" s="179" t="s">
        <v>16</v>
      </c>
      <c r="M255" s="190"/>
    </row>
    <row r="256" spans="2:13" ht="15.75" thickBot="1">
      <c r="B256" s="49"/>
      <c r="C256" s="49"/>
      <c r="D256" s="49"/>
      <c r="E256" s="50"/>
      <c r="F256" s="50"/>
      <c r="G256" s="51"/>
      <c r="H256" s="52"/>
      <c r="I256" s="52"/>
      <c r="J256" s="52"/>
      <c r="K256" s="52"/>
      <c r="L256" s="52"/>
      <c r="M256" s="52"/>
    </row>
    <row r="257" spans="2:13" ht="15.75">
      <c r="B257" s="328" t="s">
        <v>77</v>
      </c>
      <c r="C257" s="329"/>
      <c r="D257" s="329"/>
      <c r="E257" s="329"/>
      <c r="F257" s="329"/>
      <c r="G257" s="329"/>
      <c r="H257" s="329"/>
      <c r="I257" s="329"/>
      <c r="J257" s="329"/>
      <c r="K257" s="329"/>
      <c r="L257" s="329"/>
      <c r="M257" s="330"/>
    </row>
    <row r="258" spans="2:13" ht="15">
      <c r="B258" s="139" t="s">
        <v>31</v>
      </c>
      <c r="C258" s="140"/>
      <c r="D258" s="140" t="s">
        <v>20</v>
      </c>
      <c r="E258" s="140" t="s">
        <v>1</v>
      </c>
      <c r="F258" s="140"/>
      <c r="G258" s="140"/>
      <c r="H258" s="140" t="s">
        <v>78</v>
      </c>
      <c r="I258" s="140"/>
      <c r="J258" s="140"/>
      <c r="K258" s="359" t="s">
        <v>79</v>
      </c>
      <c r="L258" s="360"/>
      <c r="M258" s="361"/>
    </row>
    <row r="259" spans="2:13" ht="15">
      <c r="B259" s="139"/>
      <c r="C259" s="140"/>
      <c r="D259" s="140"/>
      <c r="E259" s="140"/>
      <c r="F259" s="140"/>
      <c r="G259" s="140"/>
      <c r="H259" s="140"/>
      <c r="I259" s="140"/>
      <c r="J259" s="140"/>
      <c r="K259" s="362"/>
      <c r="L259" s="363"/>
      <c r="M259" s="364"/>
    </row>
    <row r="260" spans="2:13" ht="15">
      <c r="B260" s="168" t="s">
        <v>80</v>
      </c>
      <c r="C260" s="169"/>
      <c r="D260" s="174" t="s">
        <v>26</v>
      </c>
      <c r="E260" s="140" t="s">
        <v>210</v>
      </c>
      <c r="F260" s="140"/>
      <c r="G260" s="140"/>
      <c r="H260" s="153">
        <v>284</v>
      </c>
      <c r="I260" s="154"/>
      <c r="J260" s="155"/>
      <c r="K260" s="156">
        <v>1183.33</v>
      </c>
      <c r="L260" s="157"/>
      <c r="M260" s="158"/>
    </row>
    <row r="261" spans="2:13" ht="15">
      <c r="B261" s="170"/>
      <c r="C261" s="171"/>
      <c r="D261" s="175"/>
      <c r="E261" s="152" t="s">
        <v>273</v>
      </c>
      <c r="F261" s="152"/>
      <c r="G261" s="152"/>
      <c r="H261" s="153">
        <v>319.5</v>
      </c>
      <c r="I261" s="154"/>
      <c r="J261" s="155"/>
      <c r="K261" s="159"/>
      <c r="L261" s="160"/>
      <c r="M261" s="161"/>
    </row>
    <row r="262" spans="2:13" ht="15">
      <c r="B262" s="170"/>
      <c r="C262" s="171"/>
      <c r="D262" s="175"/>
      <c r="E262" s="140" t="s">
        <v>81</v>
      </c>
      <c r="F262" s="140"/>
      <c r="G262" s="140"/>
      <c r="H262" s="148">
        <v>355</v>
      </c>
      <c r="I262" s="148"/>
      <c r="J262" s="148"/>
      <c r="K262" s="159"/>
      <c r="L262" s="160"/>
      <c r="M262" s="161"/>
    </row>
    <row r="263" spans="2:13" ht="15">
      <c r="B263" s="170"/>
      <c r="C263" s="171"/>
      <c r="D263" s="175"/>
      <c r="E263" s="152" t="s">
        <v>82</v>
      </c>
      <c r="F263" s="152"/>
      <c r="G263" s="152"/>
      <c r="H263" s="147">
        <v>426</v>
      </c>
      <c r="I263" s="147"/>
      <c r="J263" s="147"/>
      <c r="K263" s="159"/>
      <c r="L263" s="160"/>
      <c r="M263" s="161"/>
    </row>
    <row r="264" spans="2:13" ht="15">
      <c r="B264" s="170"/>
      <c r="C264" s="171"/>
      <c r="D264" s="175"/>
      <c r="E264" s="152" t="s">
        <v>274</v>
      </c>
      <c r="F264" s="152"/>
      <c r="G264" s="152"/>
      <c r="H264" s="153">
        <v>497</v>
      </c>
      <c r="I264" s="154"/>
      <c r="J264" s="155"/>
      <c r="K264" s="159"/>
      <c r="L264" s="160"/>
      <c r="M264" s="161"/>
    </row>
    <row r="265" spans="2:13" ht="15">
      <c r="B265" s="170"/>
      <c r="C265" s="171"/>
      <c r="D265" s="176"/>
      <c r="E265" s="152" t="s">
        <v>275</v>
      </c>
      <c r="F265" s="152"/>
      <c r="G265" s="152"/>
      <c r="H265" s="153">
        <v>532.5</v>
      </c>
      <c r="I265" s="154"/>
      <c r="J265" s="155"/>
      <c r="K265" s="162"/>
      <c r="L265" s="163"/>
      <c r="M265" s="164"/>
    </row>
    <row r="266" spans="2:13" ht="15">
      <c r="B266" s="172"/>
      <c r="C266" s="173"/>
      <c r="D266" s="122" t="s">
        <v>107</v>
      </c>
      <c r="E266" s="152" t="s">
        <v>292</v>
      </c>
      <c r="F266" s="152"/>
      <c r="G266" s="152"/>
      <c r="H266" s="153" t="s">
        <v>293</v>
      </c>
      <c r="I266" s="154"/>
      <c r="J266" s="155"/>
      <c r="K266" s="165">
        <v>944.44</v>
      </c>
      <c r="L266" s="166"/>
      <c r="M266" s="167"/>
    </row>
    <row r="267" spans="2:13" ht="15">
      <c r="B267" s="150" t="s">
        <v>276</v>
      </c>
      <c r="C267" s="151"/>
      <c r="D267" s="122" t="s">
        <v>268</v>
      </c>
      <c r="E267" s="152" t="s">
        <v>277</v>
      </c>
      <c r="F267" s="152"/>
      <c r="G267" s="152"/>
      <c r="H267" s="153" t="s">
        <v>283</v>
      </c>
      <c r="I267" s="154"/>
      <c r="J267" s="155"/>
      <c r="K267" s="165">
        <v>1272</v>
      </c>
      <c r="L267" s="166"/>
      <c r="M267" s="167"/>
    </row>
    <row r="268" spans="2:13" ht="15">
      <c r="B268" s="177" t="s">
        <v>83</v>
      </c>
      <c r="C268" s="178"/>
      <c r="D268" s="140" t="s">
        <v>209</v>
      </c>
      <c r="E268" s="152" t="s">
        <v>84</v>
      </c>
      <c r="F268" s="152"/>
      <c r="G268" s="152"/>
      <c r="H268" s="147">
        <v>97.2</v>
      </c>
      <c r="I268" s="147"/>
      <c r="J268" s="147"/>
      <c r="K268" s="365"/>
      <c r="L268" s="366"/>
      <c r="M268" s="367"/>
    </row>
    <row r="269" spans="2:13" ht="15">
      <c r="B269" s="177"/>
      <c r="C269" s="178"/>
      <c r="D269" s="140"/>
      <c r="E269" s="152" t="s">
        <v>85</v>
      </c>
      <c r="F269" s="152"/>
      <c r="G269" s="152"/>
      <c r="H269" s="147">
        <v>116.64</v>
      </c>
      <c r="I269" s="147"/>
      <c r="J269" s="147"/>
      <c r="K269" s="368"/>
      <c r="L269" s="369"/>
      <c r="M269" s="370"/>
    </row>
    <row r="270" spans="2:13" ht="15">
      <c r="B270" s="177"/>
      <c r="C270" s="178"/>
      <c r="D270" s="140"/>
      <c r="E270" s="152" t="s">
        <v>86</v>
      </c>
      <c r="F270" s="152"/>
      <c r="G270" s="152"/>
      <c r="H270" s="147">
        <v>145.8</v>
      </c>
      <c r="I270" s="147"/>
      <c r="J270" s="147"/>
      <c r="K270" s="368"/>
      <c r="L270" s="369"/>
      <c r="M270" s="370"/>
    </row>
    <row r="271" spans="2:13" ht="15">
      <c r="B271" s="177" t="s">
        <v>87</v>
      </c>
      <c r="C271" s="178"/>
      <c r="D271" s="152" t="s">
        <v>26</v>
      </c>
      <c r="E271" s="152" t="s">
        <v>88</v>
      </c>
      <c r="F271" s="152"/>
      <c r="G271" s="152"/>
      <c r="H271" s="147">
        <v>1275</v>
      </c>
      <c r="I271" s="147"/>
      <c r="J271" s="147"/>
      <c r="K271" s="368"/>
      <c r="L271" s="369"/>
      <c r="M271" s="370"/>
    </row>
    <row r="272" spans="2:13" ht="15">
      <c r="B272" s="177"/>
      <c r="C272" s="178"/>
      <c r="D272" s="152"/>
      <c r="E272" s="152" t="s">
        <v>89</v>
      </c>
      <c r="F272" s="152"/>
      <c r="G272" s="152"/>
      <c r="H272" s="147">
        <v>1700</v>
      </c>
      <c r="I272" s="147"/>
      <c r="J272" s="147"/>
      <c r="K272" s="368"/>
      <c r="L272" s="369"/>
      <c r="M272" s="370"/>
    </row>
    <row r="273" spans="2:13" ht="15">
      <c r="B273" s="150" t="s">
        <v>87</v>
      </c>
      <c r="C273" s="151"/>
      <c r="D273" s="123" t="s">
        <v>26</v>
      </c>
      <c r="E273" s="152" t="s">
        <v>281</v>
      </c>
      <c r="F273" s="152"/>
      <c r="G273" s="152"/>
      <c r="H273" s="147">
        <v>1545</v>
      </c>
      <c r="I273" s="147"/>
      <c r="J273" s="147"/>
      <c r="K273" s="368"/>
      <c r="L273" s="369"/>
      <c r="M273" s="370"/>
    </row>
    <row r="274" spans="2:13" ht="15">
      <c r="B274" s="150" t="s">
        <v>211</v>
      </c>
      <c r="C274" s="151"/>
      <c r="D274" s="95" t="s">
        <v>26</v>
      </c>
      <c r="E274" s="464" t="s">
        <v>266</v>
      </c>
      <c r="F274" s="465"/>
      <c r="G274" s="466"/>
      <c r="H274" s="165" t="s">
        <v>287</v>
      </c>
      <c r="I274" s="166"/>
      <c r="J274" s="467"/>
      <c r="K274" s="368"/>
      <c r="L274" s="369"/>
      <c r="M274" s="370"/>
    </row>
    <row r="275" spans="2:13" ht="15">
      <c r="B275" s="177" t="s">
        <v>90</v>
      </c>
      <c r="C275" s="178"/>
      <c r="D275" s="120" t="s">
        <v>26</v>
      </c>
      <c r="E275" s="152" t="s">
        <v>270</v>
      </c>
      <c r="F275" s="152"/>
      <c r="G275" s="152"/>
      <c r="H275" s="147">
        <v>280</v>
      </c>
      <c r="I275" s="147"/>
      <c r="J275" s="147"/>
      <c r="K275" s="368"/>
      <c r="L275" s="369"/>
      <c r="M275" s="370"/>
    </row>
    <row r="276" spans="2:13" ht="15">
      <c r="B276" s="177" t="s">
        <v>90</v>
      </c>
      <c r="C276" s="178"/>
      <c r="D276" s="120" t="s">
        <v>26</v>
      </c>
      <c r="E276" s="152" t="s">
        <v>271</v>
      </c>
      <c r="F276" s="152"/>
      <c r="G276" s="152"/>
      <c r="H276" s="147" t="s">
        <v>288</v>
      </c>
      <c r="I276" s="147"/>
      <c r="J276" s="147"/>
      <c r="K276" s="368"/>
      <c r="L276" s="369"/>
      <c r="M276" s="370"/>
    </row>
    <row r="277" spans="2:13" ht="15">
      <c r="B277" s="177" t="s">
        <v>90</v>
      </c>
      <c r="C277" s="178"/>
      <c r="D277" s="111" t="s">
        <v>26</v>
      </c>
      <c r="E277" s="152" t="s">
        <v>208</v>
      </c>
      <c r="F277" s="152"/>
      <c r="G277" s="152"/>
      <c r="H277" s="147" t="s">
        <v>289</v>
      </c>
      <c r="I277" s="147"/>
      <c r="J277" s="147"/>
      <c r="K277" s="368"/>
      <c r="L277" s="369"/>
      <c r="M277" s="370"/>
    </row>
    <row r="278" spans="2:13" ht="15">
      <c r="B278" s="177" t="s">
        <v>90</v>
      </c>
      <c r="C278" s="178"/>
      <c r="D278" s="47" t="s">
        <v>26</v>
      </c>
      <c r="E278" s="152" t="s">
        <v>272</v>
      </c>
      <c r="F278" s="152"/>
      <c r="G278" s="152"/>
      <c r="H278" s="147" t="s">
        <v>290</v>
      </c>
      <c r="I278" s="147"/>
      <c r="J278" s="147"/>
      <c r="K278" s="368"/>
      <c r="L278" s="369"/>
      <c r="M278" s="370"/>
    </row>
    <row r="279" spans="2:13" ht="15">
      <c r="B279" s="150" t="s">
        <v>214</v>
      </c>
      <c r="C279" s="151"/>
      <c r="D279" s="95" t="s">
        <v>26</v>
      </c>
      <c r="E279" s="464" t="s">
        <v>215</v>
      </c>
      <c r="F279" s="465"/>
      <c r="G279" s="466"/>
      <c r="H279" s="165">
        <v>375</v>
      </c>
      <c r="I279" s="166"/>
      <c r="J279" s="467"/>
      <c r="K279" s="368"/>
      <c r="L279" s="369"/>
      <c r="M279" s="370"/>
    </row>
    <row r="280" spans="2:13" ht="15">
      <c r="B280" s="241" t="s">
        <v>213</v>
      </c>
      <c r="C280" s="242"/>
      <c r="D280" s="46" t="s">
        <v>26</v>
      </c>
      <c r="E280" s="140" t="s">
        <v>267</v>
      </c>
      <c r="F280" s="140"/>
      <c r="G280" s="140"/>
      <c r="H280" s="147" t="s">
        <v>291</v>
      </c>
      <c r="I280" s="147"/>
      <c r="J280" s="147"/>
      <c r="K280" s="368"/>
      <c r="L280" s="369"/>
      <c r="M280" s="370"/>
    </row>
    <row r="281" spans="2:13" ht="15">
      <c r="B281" s="241" t="s">
        <v>296</v>
      </c>
      <c r="C281" s="242"/>
      <c r="D281" s="126" t="s">
        <v>26</v>
      </c>
      <c r="E281" s="140" t="s">
        <v>297</v>
      </c>
      <c r="F281" s="140"/>
      <c r="G281" s="140"/>
      <c r="H281" s="147">
        <v>420</v>
      </c>
      <c r="I281" s="147"/>
      <c r="J281" s="147"/>
      <c r="K281" s="368"/>
      <c r="L281" s="369"/>
      <c r="M281" s="370"/>
    </row>
    <row r="282" spans="2:13" ht="15">
      <c r="B282" s="241" t="s">
        <v>91</v>
      </c>
      <c r="C282" s="242"/>
      <c r="D282" s="121" t="s">
        <v>268</v>
      </c>
      <c r="E282" s="140" t="s">
        <v>269</v>
      </c>
      <c r="F282" s="140"/>
      <c r="G282" s="140"/>
      <c r="H282" s="148" t="s">
        <v>282</v>
      </c>
      <c r="I282" s="148"/>
      <c r="J282" s="148"/>
      <c r="K282" s="368"/>
      <c r="L282" s="369"/>
      <c r="M282" s="370"/>
    </row>
    <row r="283" spans="2:13" ht="15">
      <c r="B283" s="241" t="s">
        <v>92</v>
      </c>
      <c r="C283" s="242"/>
      <c r="D283" s="46" t="s">
        <v>26</v>
      </c>
      <c r="E283" s="140" t="s">
        <v>93</v>
      </c>
      <c r="F283" s="140"/>
      <c r="G283" s="140"/>
      <c r="H283" s="147">
        <v>3155</v>
      </c>
      <c r="I283" s="147"/>
      <c r="J283" s="147"/>
      <c r="K283" s="368"/>
      <c r="L283" s="369"/>
      <c r="M283" s="370"/>
    </row>
    <row r="284" spans="2:13" ht="15">
      <c r="B284" s="241" t="s">
        <v>212</v>
      </c>
      <c r="C284" s="242"/>
      <c r="D284" s="46" t="s">
        <v>26</v>
      </c>
      <c r="E284" s="140" t="s">
        <v>94</v>
      </c>
      <c r="F284" s="140"/>
      <c r="G284" s="140"/>
      <c r="H284" s="147">
        <v>65.78</v>
      </c>
      <c r="I284" s="147"/>
      <c r="J284" s="147"/>
      <c r="K284" s="368"/>
      <c r="L284" s="369"/>
      <c r="M284" s="370"/>
    </row>
    <row r="285" spans="2:13" ht="15">
      <c r="B285" s="241" t="s">
        <v>212</v>
      </c>
      <c r="C285" s="242"/>
      <c r="D285" s="46" t="s">
        <v>26</v>
      </c>
      <c r="E285" s="140" t="s">
        <v>95</v>
      </c>
      <c r="F285" s="140"/>
      <c r="G285" s="140"/>
      <c r="H285" s="147">
        <v>77.17</v>
      </c>
      <c r="I285" s="147"/>
      <c r="J285" s="147"/>
      <c r="K285" s="368"/>
      <c r="L285" s="369"/>
      <c r="M285" s="370"/>
    </row>
    <row r="286" spans="2:13" ht="15">
      <c r="B286" s="241" t="s">
        <v>294</v>
      </c>
      <c r="C286" s="242"/>
      <c r="D286" s="126" t="s">
        <v>26</v>
      </c>
      <c r="E286" s="140" t="s">
        <v>95</v>
      </c>
      <c r="F286" s="140"/>
      <c r="G286" s="140"/>
      <c r="H286" s="147">
        <v>86.02</v>
      </c>
      <c r="I286" s="147"/>
      <c r="J286" s="147"/>
      <c r="K286" s="368"/>
      <c r="L286" s="369"/>
      <c r="M286" s="370"/>
    </row>
    <row r="287" spans="2:13" ht="15">
      <c r="B287" s="241" t="s">
        <v>295</v>
      </c>
      <c r="C287" s="242"/>
      <c r="D287" s="126" t="s">
        <v>107</v>
      </c>
      <c r="E287" s="140" t="s">
        <v>94</v>
      </c>
      <c r="F287" s="140"/>
      <c r="G287" s="140"/>
      <c r="H287" s="147">
        <v>59.46</v>
      </c>
      <c r="I287" s="147"/>
      <c r="J287" s="147"/>
      <c r="K287" s="368"/>
      <c r="L287" s="369"/>
      <c r="M287" s="370"/>
    </row>
    <row r="288" spans="2:13" ht="15">
      <c r="B288" s="177" t="s">
        <v>96</v>
      </c>
      <c r="C288" s="178"/>
      <c r="D288" s="93" t="s">
        <v>26</v>
      </c>
      <c r="E288" s="152" t="s">
        <v>97</v>
      </c>
      <c r="F288" s="152"/>
      <c r="G288" s="152"/>
      <c r="H288" s="147">
        <v>915</v>
      </c>
      <c r="I288" s="147"/>
      <c r="J288" s="147"/>
      <c r="K288" s="368"/>
      <c r="L288" s="369"/>
      <c r="M288" s="370"/>
    </row>
    <row r="289" spans="2:13" ht="15.75" thickBot="1">
      <c r="B289" s="357" t="s">
        <v>96</v>
      </c>
      <c r="C289" s="358"/>
      <c r="D289" s="94" t="s">
        <v>26</v>
      </c>
      <c r="E289" s="132" t="s">
        <v>98</v>
      </c>
      <c r="F289" s="132"/>
      <c r="G289" s="132"/>
      <c r="H289" s="134">
        <v>585</v>
      </c>
      <c r="I289" s="134"/>
      <c r="J289" s="134"/>
      <c r="K289" s="371"/>
      <c r="L289" s="372"/>
      <c r="M289" s="373"/>
    </row>
    <row r="290" ht="15.75" thickBot="1"/>
    <row r="291" spans="2:13" ht="15">
      <c r="B291" s="490" t="s">
        <v>99</v>
      </c>
      <c r="C291" s="491"/>
      <c r="D291" s="491"/>
      <c r="E291" s="491"/>
      <c r="F291" s="491"/>
      <c r="G291" s="491"/>
      <c r="H291" s="491"/>
      <c r="I291" s="491"/>
      <c r="J291" s="491"/>
      <c r="K291" s="491"/>
      <c r="L291" s="491"/>
      <c r="M291" s="492"/>
    </row>
    <row r="292" spans="2:13" ht="15" customHeight="1">
      <c r="B292" s="128" t="s">
        <v>31</v>
      </c>
      <c r="C292" s="129" t="s">
        <v>100</v>
      </c>
      <c r="D292" s="140" t="s">
        <v>20</v>
      </c>
      <c r="E292" s="140"/>
      <c r="F292" s="493" t="s">
        <v>19</v>
      </c>
      <c r="G292" s="493"/>
      <c r="H292" s="493" t="s">
        <v>258</v>
      </c>
      <c r="I292" s="493"/>
      <c r="J292" s="494" t="s">
        <v>259</v>
      </c>
      <c r="K292" s="144"/>
      <c r="L292" s="494" t="s">
        <v>260</v>
      </c>
      <c r="M292" s="495"/>
    </row>
    <row r="293" spans="2:13" ht="15">
      <c r="B293" s="511" t="s">
        <v>101</v>
      </c>
      <c r="C293" s="174">
        <v>18</v>
      </c>
      <c r="D293" s="340" t="s">
        <v>209</v>
      </c>
      <c r="E293" s="341"/>
      <c r="F293" s="493" t="s">
        <v>261</v>
      </c>
      <c r="G293" s="493"/>
      <c r="H293" s="340">
        <v>200</v>
      </c>
      <c r="I293" s="341"/>
      <c r="J293" s="500" t="s">
        <v>16</v>
      </c>
      <c r="K293" s="501"/>
      <c r="L293" s="147">
        <v>486</v>
      </c>
      <c r="M293" s="392"/>
    </row>
    <row r="294" spans="2:13" ht="15.75" thickBot="1">
      <c r="B294" s="512"/>
      <c r="C294" s="335"/>
      <c r="D294" s="498"/>
      <c r="E294" s="499"/>
      <c r="F294" s="514" t="s">
        <v>262</v>
      </c>
      <c r="G294" s="515"/>
      <c r="H294" s="514" t="s">
        <v>263</v>
      </c>
      <c r="I294" s="515"/>
      <c r="J294" s="502"/>
      <c r="K294" s="503"/>
      <c r="L294" s="134">
        <v>432</v>
      </c>
      <c r="M294" s="135"/>
    </row>
    <row r="295" spans="2:13" ht="15">
      <c r="B295" s="512"/>
      <c r="C295" s="334">
        <v>28</v>
      </c>
      <c r="D295" s="498"/>
      <c r="E295" s="499"/>
      <c r="F295" s="336" t="s">
        <v>262</v>
      </c>
      <c r="G295" s="337"/>
      <c r="H295" s="340" t="s">
        <v>264</v>
      </c>
      <c r="I295" s="341"/>
      <c r="J295" s="502"/>
      <c r="K295" s="503"/>
      <c r="L295" s="516">
        <v>725.76</v>
      </c>
      <c r="M295" s="517"/>
    </row>
    <row r="296" spans="2:13" ht="15.75" thickBot="1">
      <c r="B296" s="512"/>
      <c r="C296" s="335"/>
      <c r="D296" s="498"/>
      <c r="E296" s="499"/>
      <c r="F296" s="338"/>
      <c r="G296" s="339"/>
      <c r="H296" s="338"/>
      <c r="I296" s="339"/>
      <c r="J296" s="502"/>
      <c r="K296" s="503"/>
      <c r="L296" s="496"/>
      <c r="M296" s="497"/>
    </row>
    <row r="297" spans="2:13" ht="15">
      <c r="B297" s="512"/>
      <c r="C297" s="175">
        <v>40</v>
      </c>
      <c r="D297" s="498"/>
      <c r="E297" s="499"/>
      <c r="F297" s="498" t="s">
        <v>262</v>
      </c>
      <c r="G297" s="499"/>
      <c r="H297" s="498" t="s">
        <v>264</v>
      </c>
      <c r="I297" s="499"/>
      <c r="J297" s="502"/>
      <c r="K297" s="503"/>
      <c r="L297" s="159">
        <v>1036.8</v>
      </c>
      <c r="M297" s="161"/>
    </row>
    <row r="298" spans="2:13" ht="15.75" thickBot="1">
      <c r="B298" s="512"/>
      <c r="C298" s="335"/>
      <c r="D298" s="338"/>
      <c r="E298" s="339"/>
      <c r="F298" s="338"/>
      <c r="G298" s="339"/>
      <c r="H298" s="338"/>
      <c r="I298" s="339"/>
      <c r="J298" s="502"/>
      <c r="K298" s="503"/>
      <c r="L298" s="496"/>
      <c r="M298" s="497"/>
    </row>
    <row r="299" spans="2:13" ht="15">
      <c r="B299" s="512"/>
      <c r="C299" s="334">
        <v>18</v>
      </c>
      <c r="D299" s="336" t="s">
        <v>265</v>
      </c>
      <c r="E299" s="337"/>
      <c r="F299" s="336" t="s">
        <v>262</v>
      </c>
      <c r="G299" s="337"/>
      <c r="H299" s="340" t="s">
        <v>264</v>
      </c>
      <c r="I299" s="341"/>
      <c r="J299" s="502"/>
      <c r="K299" s="503"/>
      <c r="L299" s="516">
        <v>594</v>
      </c>
      <c r="M299" s="517"/>
    </row>
    <row r="300" spans="2:13" ht="15.75" thickBot="1">
      <c r="B300" s="512"/>
      <c r="C300" s="335"/>
      <c r="D300" s="498"/>
      <c r="E300" s="499"/>
      <c r="F300" s="338"/>
      <c r="G300" s="339"/>
      <c r="H300" s="338"/>
      <c r="I300" s="339"/>
      <c r="J300" s="502"/>
      <c r="K300" s="503"/>
      <c r="L300" s="496"/>
      <c r="M300" s="497"/>
    </row>
    <row r="301" spans="2:13" ht="15">
      <c r="B301" s="512"/>
      <c r="C301" s="175">
        <v>40</v>
      </c>
      <c r="D301" s="498"/>
      <c r="E301" s="499"/>
      <c r="F301" s="498" t="s">
        <v>262</v>
      </c>
      <c r="G301" s="499"/>
      <c r="H301" s="340" t="s">
        <v>264</v>
      </c>
      <c r="I301" s="341"/>
      <c r="J301" s="502"/>
      <c r="K301" s="503"/>
      <c r="L301" s="159">
        <v>1272</v>
      </c>
      <c r="M301" s="161"/>
    </row>
    <row r="302" spans="2:13" ht="15.75" thickBot="1">
      <c r="B302" s="513"/>
      <c r="C302" s="335"/>
      <c r="D302" s="338"/>
      <c r="E302" s="339"/>
      <c r="F302" s="338"/>
      <c r="G302" s="339"/>
      <c r="H302" s="338"/>
      <c r="I302" s="339"/>
      <c r="J302" s="504"/>
      <c r="K302" s="505"/>
      <c r="L302" s="496"/>
      <c r="M302" s="497"/>
    </row>
    <row r="303" ht="15.75" thickBot="1"/>
    <row r="304" spans="2:13" ht="15.75">
      <c r="B304" s="328" t="s">
        <v>192</v>
      </c>
      <c r="C304" s="329"/>
      <c r="D304" s="329"/>
      <c r="E304" s="329"/>
      <c r="F304" s="329"/>
      <c r="G304" s="329"/>
      <c r="H304" s="329"/>
      <c r="I304" s="329"/>
      <c r="J304" s="329"/>
      <c r="K304" s="329"/>
      <c r="L304" s="329"/>
      <c r="M304" s="330"/>
    </row>
    <row r="305" spans="2:13" ht="15">
      <c r="B305" s="342" t="s">
        <v>193</v>
      </c>
      <c r="C305" s="307"/>
      <c r="D305" s="307"/>
      <c r="E305" s="307"/>
      <c r="F305" s="307"/>
      <c r="G305" s="228" t="s">
        <v>194</v>
      </c>
      <c r="H305" s="228"/>
      <c r="I305" s="228"/>
      <c r="J305" s="228"/>
      <c r="K305" s="350" t="s">
        <v>195</v>
      </c>
      <c r="L305" s="351"/>
      <c r="M305" s="352"/>
    </row>
    <row r="306" spans="2:13" ht="15">
      <c r="B306" s="232" t="s">
        <v>196</v>
      </c>
      <c r="C306" s="233"/>
      <c r="D306" s="233"/>
      <c r="E306" s="233"/>
      <c r="F306" s="233"/>
      <c r="G306" s="343">
        <v>20</v>
      </c>
      <c r="H306" s="343"/>
      <c r="I306" s="343"/>
      <c r="J306" s="343"/>
      <c r="K306" s="234" t="s">
        <v>197</v>
      </c>
      <c r="L306" s="344"/>
      <c r="M306" s="345"/>
    </row>
    <row r="307" spans="2:13" ht="15">
      <c r="B307" s="232" t="s">
        <v>198</v>
      </c>
      <c r="C307" s="233"/>
      <c r="D307" s="233"/>
      <c r="E307" s="233"/>
      <c r="F307" s="233"/>
      <c r="G307" s="343">
        <v>20</v>
      </c>
      <c r="H307" s="343"/>
      <c r="I307" s="343"/>
      <c r="J307" s="343"/>
      <c r="K307" s="234" t="s">
        <v>197</v>
      </c>
      <c r="L307" s="344"/>
      <c r="M307" s="345"/>
    </row>
    <row r="308" spans="2:13" ht="15">
      <c r="B308" s="232" t="s">
        <v>199</v>
      </c>
      <c r="C308" s="233"/>
      <c r="D308" s="233"/>
      <c r="E308" s="233"/>
      <c r="F308" s="233"/>
      <c r="G308" s="343">
        <v>20</v>
      </c>
      <c r="H308" s="343"/>
      <c r="I308" s="343"/>
      <c r="J308" s="343"/>
      <c r="K308" s="234" t="s">
        <v>197</v>
      </c>
      <c r="L308" s="344"/>
      <c r="M308" s="345"/>
    </row>
    <row r="309" spans="2:13" ht="15">
      <c r="B309" s="232" t="s">
        <v>200</v>
      </c>
      <c r="C309" s="233"/>
      <c r="D309" s="233"/>
      <c r="E309" s="233"/>
      <c r="F309" s="233"/>
      <c r="G309" s="343">
        <v>20</v>
      </c>
      <c r="H309" s="343"/>
      <c r="I309" s="343"/>
      <c r="J309" s="343"/>
      <c r="K309" s="234" t="s">
        <v>197</v>
      </c>
      <c r="L309" s="344"/>
      <c r="M309" s="345"/>
    </row>
    <row r="310" spans="2:13" ht="15">
      <c r="B310" s="232" t="s">
        <v>201</v>
      </c>
      <c r="C310" s="233"/>
      <c r="D310" s="233"/>
      <c r="E310" s="233"/>
      <c r="F310" s="233"/>
      <c r="G310" s="343">
        <v>20</v>
      </c>
      <c r="H310" s="343"/>
      <c r="I310" s="343"/>
      <c r="J310" s="343"/>
      <c r="K310" s="234" t="s">
        <v>197</v>
      </c>
      <c r="L310" s="344"/>
      <c r="M310" s="345"/>
    </row>
    <row r="311" spans="2:13" ht="15.75" thickBot="1">
      <c r="B311" s="256" t="s">
        <v>202</v>
      </c>
      <c r="C311" s="257"/>
      <c r="D311" s="257"/>
      <c r="E311" s="257"/>
      <c r="F311" s="257"/>
      <c r="G311" s="346">
        <v>20</v>
      </c>
      <c r="H311" s="346"/>
      <c r="I311" s="346"/>
      <c r="J311" s="346"/>
      <c r="K311" s="347" t="s">
        <v>197</v>
      </c>
      <c r="L311" s="348"/>
      <c r="M311" s="349"/>
    </row>
  </sheetData>
  <sheetProtection/>
  <mergeCells count="906">
    <mergeCell ref="B48:G48"/>
    <mergeCell ref="H48:J48"/>
    <mergeCell ref="K48:M48"/>
    <mergeCell ref="B286:C286"/>
    <mergeCell ref="E286:G286"/>
    <mergeCell ref="H286:J286"/>
    <mergeCell ref="B287:C287"/>
    <mergeCell ref="E287:G287"/>
    <mergeCell ref="H287:J287"/>
    <mergeCell ref="L294:M294"/>
    <mergeCell ref="C293:C294"/>
    <mergeCell ref="F293:G293"/>
    <mergeCell ref="H293:I293"/>
    <mergeCell ref="L293:M293"/>
    <mergeCell ref="L299:M300"/>
    <mergeCell ref="F299:G300"/>
    <mergeCell ref="H299:I300"/>
    <mergeCell ref="L297:M298"/>
    <mergeCell ref="L295:M296"/>
    <mergeCell ref="F301:G302"/>
    <mergeCell ref="H301:I302"/>
    <mergeCell ref="B293:B302"/>
    <mergeCell ref="F294:G294"/>
    <mergeCell ref="H294:I294"/>
    <mergeCell ref="C301:C302"/>
    <mergeCell ref="C297:C298"/>
    <mergeCell ref="F297:G298"/>
    <mergeCell ref="H297:I298"/>
    <mergeCell ref="C299:C300"/>
    <mergeCell ref="L301:M302"/>
    <mergeCell ref="D293:E298"/>
    <mergeCell ref="J293:K302"/>
    <mergeCell ref="F185:G185"/>
    <mergeCell ref="H185:I185"/>
    <mergeCell ref="L185:M185"/>
    <mergeCell ref="E185:E186"/>
    <mergeCell ref="J185:K185"/>
    <mergeCell ref="D185:D186"/>
    <mergeCell ref="D299:E302"/>
    <mergeCell ref="B291:M291"/>
    <mergeCell ref="D292:E292"/>
    <mergeCell ref="F292:G292"/>
    <mergeCell ref="H292:I292"/>
    <mergeCell ref="J292:K292"/>
    <mergeCell ref="L292:M292"/>
    <mergeCell ref="K149:M149"/>
    <mergeCell ref="E90:F90"/>
    <mergeCell ref="B163:D163"/>
    <mergeCell ref="H163:J163"/>
    <mergeCell ref="K163:M163"/>
    <mergeCell ref="F163:G163"/>
    <mergeCell ref="K150:M150"/>
    <mergeCell ref="H150:J150"/>
    <mergeCell ref="D149:E151"/>
    <mergeCell ref="E95:F95"/>
    <mergeCell ref="B89:C89"/>
    <mergeCell ref="B91:C91"/>
    <mergeCell ref="E91:F91"/>
    <mergeCell ref="E89:F89"/>
    <mergeCell ref="G89:H89"/>
    <mergeCell ref="G91:H91"/>
    <mergeCell ref="B90:C90"/>
    <mergeCell ref="B216:M216"/>
    <mergeCell ref="B217:B218"/>
    <mergeCell ref="C217:C218"/>
    <mergeCell ref="D217:D218"/>
    <mergeCell ref="E217:E218"/>
    <mergeCell ref="F217:G217"/>
    <mergeCell ref="J217:K217"/>
    <mergeCell ref="L217:M217"/>
    <mergeCell ref="H217:I217"/>
    <mergeCell ref="H51:J51"/>
    <mergeCell ref="L83:M83"/>
    <mergeCell ref="H126:J126"/>
    <mergeCell ref="K126:M126"/>
    <mergeCell ref="D99:E121"/>
    <mergeCell ref="D124:E137"/>
    <mergeCell ref="F100:G100"/>
    <mergeCell ref="H100:J100"/>
    <mergeCell ref="K100:M100"/>
    <mergeCell ref="L81:M81"/>
    <mergeCell ref="K49:M49"/>
    <mergeCell ref="B45:G45"/>
    <mergeCell ref="H45:J45"/>
    <mergeCell ref="B51:G51"/>
    <mergeCell ref="K51:M51"/>
    <mergeCell ref="G56:H56"/>
    <mergeCell ref="I56:K56"/>
    <mergeCell ref="I54:K55"/>
    <mergeCell ref="L54:M55"/>
    <mergeCell ref="E54:F55"/>
    <mergeCell ref="K44:M44"/>
    <mergeCell ref="K43:M43"/>
    <mergeCell ref="H44:J44"/>
    <mergeCell ref="H42:J42"/>
    <mergeCell ref="B43:G43"/>
    <mergeCell ref="K50:M50"/>
    <mergeCell ref="B49:G49"/>
    <mergeCell ref="B50:G50"/>
    <mergeCell ref="H50:J50"/>
    <mergeCell ref="H49:J49"/>
    <mergeCell ref="I81:K81"/>
    <mergeCell ref="B81:C81"/>
    <mergeCell ref="B41:G41"/>
    <mergeCell ref="H41:J41"/>
    <mergeCell ref="K41:M41"/>
    <mergeCell ref="B44:G44"/>
    <mergeCell ref="H43:J43"/>
    <mergeCell ref="K42:M42"/>
    <mergeCell ref="B42:G42"/>
    <mergeCell ref="L75:M75"/>
    <mergeCell ref="L88:M88"/>
    <mergeCell ref="B184:M184"/>
    <mergeCell ref="B83:C83"/>
    <mergeCell ref="E83:F83"/>
    <mergeCell ref="G83:H83"/>
    <mergeCell ref="I83:K83"/>
    <mergeCell ref="F102:G102"/>
    <mergeCell ref="B95:C95"/>
    <mergeCell ref="B100:C100"/>
    <mergeCell ref="B102:C102"/>
    <mergeCell ref="B279:C279"/>
    <mergeCell ref="E279:G279"/>
    <mergeCell ref="H279:J279"/>
    <mergeCell ref="B278:C278"/>
    <mergeCell ref="B277:C277"/>
    <mergeCell ref="E278:G278"/>
    <mergeCell ref="H278:J278"/>
    <mergeCell ref="H277:J277"/>
    <mergeCell ref="B88:C88"/>
    <mergeCell ref="E88:F88"/>
    <mergeCell ref="G88:H88"/>
    <mergeCell ref="I88:K88"/>
    <mergeCell ref="B274:C274"/>
    <mergeCell ref="E274:G274"/>
    <mergeCell ref="H274:J274"/>
    <mergeCell ref="B185:B186"/>
    <mergeCell ref="C185:C186"/>
    <mergeCell ref="F150:G150"/>
    <mergeCell ref="G65:H65"/>
    <mergeCell ref="L74:M74"/>
    <mergeCell ref="G81:H81"/>
    <mergeCell ref="B87:C87"/>
    <mergeCell ref="E87:F87"/>
    <mergeCell ref="G87:H87"/>
    <mergeCell ref="I87:K87"/>
    <mergeCell ref="L87:M87"/>
    <mergeCell ref="E81:F81"/>
    <mergeCell ref="L67:M67"/>
    <mergeCell ref="G95:H95"/>
    <mergeCell ref="I95:K95"/>
    <mergeCell ref="L95:M95"/>
    <mergeCell ref="B97:M97"/>
    <mergeCell ref="B94:C94"/>
    <mergeCell ref="E94:F94"/>
    <mergeCell ref="G94:H94"/>
    <mergeCell ref="I94:K94"/>
    <mergeCell ref="L94:M94"/>
    <mergeCell ref="B93:C93"/>
    <mergeCell ref="E93:F93"/>
    <mergeCell ref="G93:H93"/>
    <mergeCell ref="I93:K93"/>
    <mergeCell ref="L93:M93"/>
    <mergeCell ref="B92:C92"/>
    <mergeCell ref="E92:F92"/>
    <mergeCell ref="G92:H92"/>
    <mergeCell ref="I92:K92"/>
    <mergeCell ref="L92:M92"/>
    <mergeCell ref="G59:H59"/>
    <mergeCell ref="B75:C75"/>
    <mergeCell ref="E75:F75"/>
    <mergeCell ref="G75:H75"/>
    <mergeCell ref="I75:K75"/>
    <mergeCell ref="I68:K68"/>
    <mergeCell ref="B74:C74"/>
    <mergeCell ref="E74:F74"/>
    <mergeCell ref="G74:H74"/>
    <mergeCell ref="I74:K74"/>
    <mergeCell ref="K166:M166"/>
    <mergeCell ref="E65:F65"/>
    <mergeCell ref="E58:F58"/>
    <mergeCell ref="G68:H68"/>
    <mergeCell ref="E59:F59"/>
    <mergeCell ref="B68:C68"/>
    <mergeCell ref="E66:F66"/>
    <mergeCell ref="B67:C67"/>
    <mergeCell ref="G67:H67"/>
    <mergeCell ref="B59:C59"/>
    <mergeCell ref="B170:D170"/>
    <mergeCell ref="I67:K67"/>
    <mergeCell ref="E67:F67"/>
    <mergeCell ref="B64:C64"/>
    <mergeCell ref="G64:H64"/>
    <mergeCell ref="E68:F68"/>
    <mergeCell ref="B168:D168"/>
    <mergeCell ref="B166:D166"/>
    <mergeCell ref="B164:D164"/>
    <mergeCell ref="H164:J164"/>
    <mergeCell ref="H171:J171"/>
    <mergeCell ref="F171:G171"/>
    <mergeCell ref="B173:D173"/>
    <mergeCell ref="H174:J174"/>
    <mergeCell ref="H172:J172"/>
    <mergeCell ref="H173:J173"/>
    <mergeCell ref="K161:M161"/>
    <mergeCell ref="K164:M164"/>
    <mergeCell ref="F175:G175"/>
    <mergeCell ref="F170:G170"/>
    <mergeCell ref="H168:J168"/>
    <mergeCell ref="F168:G168"/>
    <mergeCell ref="F166:G166"/>
    <mergeCell ref="H166:J166"/>
    <mergeCell ref="H161:J161"/>
    <mergeCell ref="F164:G164"/>
    <mergeCell ref="K182:M182"/>
    <mergeCell ref="B182:C182"/>
    <mergeCell ref="B179:C179"/>
    <mergeCell ref="D179:E179"/>
    <mergeCell ref="F179:G179"/>
    <mergeCell ref="B180:C180"/>
    <mergeCell ref="D180:E180"/>
    <mergeCell ref="F180:G180"/>
    <mergeCell ref="K181:M181"/>
    <mergeCell ref="H181:J181"/>
    <mergeCell ref="K167:M167"/>
    <mergeCell ref="K169:M169"/>
    <mergeCell ref="B167:D167"/>
    <mergeCell ref="K168:M168"/>
    <mergeCell ref="K180:M180"/>
    <mergeCell ref="K179:M179"/>
    <mergeCell ref="F172:G172"/>
    <mergeCell ref="H180:J180"/>
    <mergeCell ref="F174:G174"/>
    <mergeCell ref="B178:M178"/>
    <mergeCell ref="B176:D176"/>
    <mergeCell ref="F176:G176"/>
    <mergeCell ref="H176:J176"/>
    <mergeCell ref="K176:M176"/>
    <mergeCell ref="K173:M173"/>
    <mergeCell ref="K171:M171"/>
    <mergeCell ref="K174:M174"/>
    <mergeCell ref="B175:D175"/>
    <mergeCell ref="B174:D174"/>
    <mergeCell ref="B171:D171"/>
    <mergeCell ref="H170:J170"/>
    <mergeCell ref="B165:D165"/>
    <mergeCell ref="F165:G165"/>
    <mergeCell ref="H165:J165"/>
    <mergeCell ref="K165:M165"/>
    <mergeCell ref="B169:D169"/>
    <mergeCell ref="F167:G167"/>
    <mergeCell ref="F169:G169"/>
    <mergeCell ref="H169:J169"/>
    <mergeCell ref="H167:J167"/>
    <mergeCell ref="K162:M162"/>
    <mergeCell ref="F161:G161"/>
    <mergeCell ref="B161:D161"/>
    <mergeCell ref="B160:D160"/>
    <mergeCell ref="H175:J175"/>
    <mergeCell ref="K175:M175"/>
    <mergeCell ref="K170:M170"/>
    <mergeCell ref="B172:D172"/>
    <mergeCell ref="F173:G173"/>
    <mergeCell ref="K172:M172"/>
    <mergeCell ref="B80:C80"/>
    <mergeCell ref="E80:F80"/>
    <mergeCell ref="L78:M79"/>
    <mergeCell ref="I89:K89"/>
    <mergeCell ref="I91:K91"/>
    <mergeCell ref="L89:M89"/>
    <mergeCell ref="L91:M91"/>
    <mergeCell ref="G90:H90"/>
    <mergeCell ref="I90:K90"/>
    <mergeCell ref="L90:M90"/>
    <mergeCell ref="B159:M159"/>
    <mergeCell ref="G80:H80"/>
    <mergeCell ref="I80:K80"/>
    <mergeCell ref="L80:M80"/>
    <mergeCell ref="B77:M77"/>
    <mergeCell ref="B78:C79"/>
    <mergeCell ref="D78:D79"/>
    <mergeCell ref="E78:F79"/>
    <mergeCell ref="G78:H79"/>
    <mergeCell ref="I78:K79"/>
    <mergeCell ref="B273:C273"/>
    <mergeCell ref="E273:G273"/>
    <mergeCell ref="H273:J273"/>
    <mergeCell ref="F160:G160"/>
    <mergeCell ref="H160:J160"/>
    <mergeCell ref="K160:M160"/>
    <mergeCell ref="B162:D162"/>
    <mergeCell ref="F162:G162"/>
    <mergeCell ref="H162:J162"/>
    <mergeCell ref="D182:E182"/>
    <mergeCell ref="B82:C82"/>
    <mergeCell ref="E82:F82"/>
    <mergeCell ref="G82:H82"/>
    <mergeCell ref="I82:K82"/>
    <mergeCell ref="L82:M82"/>
    <mergeCell ref="I85:K85"/>
    <mergeCell ref="L84:M84"/>
    <mergeCell ref="L85:M85"/>
    <mergeCell ref="G85:H85"/>
    <mergeCell ref="B84:C84"/>
    <mergeCell ref="L69:M69"/>
    <mergeCell ref="E72:F73"/>
    <mergeCell ref="G72:H73"/>
    <mergeCell ref="I72:K73"/>
    <mergeCell ref="L72:M73"/>
    <mergeCell ref="E69:F69"/>
    <mergeCell ref="B71:M71"/>
    <mergeCell ref="D72:D73"/>
    <mergeCell ref="B72:C73"/>
    <mergeCell ref="H133:J133"/>
    <mergeCell ref="L68:M68"/>
    <mergeCell ref="B69:C69"/>
    <mergeCell ref="G69:H69"/>
    <mergeCell ref="I69:K69"/>
    <mergeCell ref="B133:C133"/>
    <mergeCell ref="B86:C86"/>
    <mergeCell ref="E86:F86"/>
    <mergeCell ref="G86:H86"/>
    <mergeCell ref="I84:K84"/>
    <mergeCell ref="B134:C134"/>
    <mergeCell ref="B135:C135"/>
    <mergeCell ref="B136:C136"/>
    <mergeCell ref="F133:G133"/>
    <mergeCell ref="F136:G136"/>
    <mergeCell ref="F135:G135"/>
    <mergeCell ref="F134:G134"/>
    <mergeCell ref="I64:K64"/>
    <mergeCell ref="L64:M64"/>
    <mergeCell ref="B66:C66"/>
    <mergeCell ref="G66:H66"/>
    <mergeCell ref="I66:K66"/>
    <mergeCell ref="L66:M66"/>
    <mergeCell ref="B65:C65"/>
    <mergeCell ref="E64:F64"/>
    <mergeCell ref="I65:K65"/>
    <mergeCell ref="L65:M65"/>
    <mergeCell ref="I59:K59"/>
    <mergeCell ref="L59:M59"/>
    <mergeCell ref="L56:M56"/>
    <mergeCell ref="B58:C58"/>
    <mergeCell ref="L58:M58"/>
    <mergeCell ref="I58:K58"/>
    <mergeCell ref="G58:H58"/>
    <mergeCell ref="B56:C56"/>
    <mergeCell ref="B57:C57"/>
    <mergeCell ref="G57:H57"/>
    <mergeCell ref="I57:K57"/>
    <mergeCell ref="L57:M57"/>
    <mergeCell ref="B53:M53"/>
    <mergeCell ref="B54:C55"/>
    <mergeCell ref="G54:H55"/>
    <mergeCell ref="D54:D55"/>
    <mergeCell ref="E57:F57"/>
    <mergeCell ref="E56:F56"/>
    <mergeCell ref="K45:M45"/>
    <mergeCell ref="B46:G46"/>
    <mergeCell ref="H46:J46"/>
    <mergeCell ref="K46:M46"/>
    <mergeCell ref="B47:G47"/>
    <mergeCell ref="H47:J47"/>
    <mergeCell ref="K47:M47"/>
    <mergeCell ref="B38:M38"/>
    <mergeCell ref="B39:G39"/>
    <mergeCell ref="H39:J39"/>
    <mergeCell ref="K39:M39"/>
    <mergeCell ref="B40:G40"/>
    <mergeCell ref="H40:J40"/>
    <mergeCell ref="K40:M40"/>
    <mergeCell ref="B31:C31"/>
    <mergeCell ref="D31:E31"/>
    <mergeCell ref="F31:H31"/>
    <mergeCell ref="I31:J31"/>
    <mergeCell ref="K31:M31"/>
    <mergeCell ref="B32:C32"/>
    <mergeCell ref="D32:E32"/>
    <mergeCell ref="F32:H32"/>
    <mergeCell ref="I32:J32"/>
    <mergeCell ref="K32:M32"/>
    <mergeCell ref="D22:E22"/>
    <mergeCell ref="F22:G22"/>
    <mergeCell ref="H22:J22"/>
    <mergeCell ref="K22:M22"/>
    <mergeCell ref="B29:M29"/>
    <mergeCell ref="B30:C30"/>
    <mergeCell ref="D30:E30"/>
    <mergeCell ref="F30:H30"/>
    <mergeCell ref="I30:J30"/>
    <mergeCell ref="K30:M30"/>
    <mergeCell ref="F20:G20"/>
    <mergeCell ref="H20:J20"/>
    <mergeCell ref="K20:M20"/>
    <mergeCell ref="D21:E21"/>
    <mergeCell ref="F21:G21"/>
    <mergeCell ref="H21:J21"/>
    <mergeCell ref="K21:M21"/>
    <mergeCell ref="B18:C22"/>
    <mergeCell ref="D18:E18"/>
    <mergeCell ref="F18:G18"/>
    <mergeCell ref="H18:J18"/>
    <mergeCell ref="K18:M18"/>
    <mergeCell ref="D19:E19"/>
    <mergeCell ref="F19:G19"/>
    <mergeCell ref="H19:J19"/>
    <mergeCell ref="K19:M19"/>
    <mergeCell ref="D20:E20"/>
    <mergeCell ref="B16:M16"/>
    <mergeCell ref="B17:C17"/>
    <mergeCell ref="D17:E17"/>
    <mergeCell ref="F17:G17"/>
    <mergeCell ref="H17:J17"/>
    <mergeCell ref="K17:M17"/>
    <mergeCell ref="B1:C1"/>
    <mergeCell ref="B3:M3"/>
    <mergeCell ref="B4:B5"/>
    <mergeCell ref="C4:C5"/>
    <mergeCell ref="D4:D5"/>
    <mergeCell ref="E4:G4"/>
    <mergeCell ref="H4:J4"/>
    <mergeCell ref="K4:M4"/>
    <mergeCell ref="J1:M1"/>
    <mergeCell ref="D1:I1"/>
    <mergeCell ref="F182:G182"/>
    <mergeCell ref="F181:G181"/>
    <mergeCell ref="H179:J179"/>
    <mergeCell ref="B181:C181"/>
    <mergeCell ref="D181:E181"/>
    <mergeCell ref="H182:J182"/>
    <mergeCell ref="D258:D259"/>
    <mergeCell ref="E258:G259"/>
    <mergeCell ref="H258:J259"/>
    <mergeCell ref="K258:M259"/>
    <mergeCell ref="E272:G272"/>
    <mergeCell ref="H272:J272"/>
    <mergeCell ref="H271:J271"/>
    <mergeCell ref="K268:M289"/>
    <mergeCell ref="K267:M267"/>
    <mergeCell ref="E277:G277"/>
    <mergeCell ref="B271:C272"/>
    <mergeCell ref="D271:D272"/>
    <mergeCell ref="E271:G271"/>
    <mergeCell ref="D268:D270"/>
    <mergeCell ref="E268:G268"/>
    <mergeCell ref="H268:J268"/>
    <mergeCell ref="E269:G269"/>
    <mergeCell ref="H269:J269"/>
    <mergeCell ref="E270:G270"/>
    <mergeCell ref="H270:J270"/>
    <mergeCell ref="B280:C280"/>
    <mergeCell ref="E280:G280"/>
    <mergeCell ref="H280:J280"/>
    <mergeCell ref="B282:C282"/>
    <mergeCell ref="E282:G282"/>
    <mergeCell ref="H282:J282"/>
    <mergeCell ref="B281:C281"/>
    <mergeCell ref="E281:G281"/>
    <mergeCell ref="H281:J281"/>
    <mergeCell ref="H285:J285"/>
    <mergeCell ref="B288:C288"/>
    <mergeCell ref="E288:G288"/>
    <mergeCell ref="H288:J288"/>
    <mergeCell ref="B283:C283"/>
    <mergeCell ref="E283:G283"/>
    <mergeCell ref="H283:J283"/>
    <mergeCell ref="B284:C284"/>
    <mergeCell ref="E284:G284"/>
    <mergeCell ref="H284:J284"/>
    <mergeCell ref="B289:C289"/>
    <mergeCell ref="E289:G289"/>
    <mergeCell ref="H289:J289"/>
    <mergeCell ref="D225:D226"/>
    <mergeCell ref="E225:E226"/>
    <mergeCell ref="D238:D239"/>
    <mergeCell ref="E238:E239"/>
    <mergeCell ref="H225:I225"/>
    <mergeCell ref="B285:C285"/>
    <mergeCell ref="E285:G285"/>
    <mergeCell ref="H193:I193"/>
    <mergeCell ref="J193:K193"/>
    <mergeCell ref="L193:M193"/>
    <mergeCell ref="B192:M192"/>
    <mergeCell ref="B193:B194"/>
    <mergeCell ref="C193:C194"/>
    <mergeCell ref="D193:D194"/>
    <mergeCell ref="E193:E194"/>
    <mergeCell ref="F193:G193"/>
    <mergeCell ref="B268:C270"/>
    <mergeCell ref="E262:G262"/>
    <mergeCell ref="H262:J262"/>
    <mergeCell ref="B238:B239"/>
    <mergeCell ref="C238:C239"/>
    <mergeCell ref="E263:G263"/>
    <mergeCell ref="H263:J263"/>
    <mergeCell ref="E260:G260"/>
    <mergeCell ref="H260:J260"/>
    <mergeCell ref="B257:M257"/>
    <mergeCell ref="L246:M246"/>
    <mergeCell ref="C225:C226"/>
    <mergeCell ref="B235:E235"/>
    <mergeCell ref="L235:M235"/>
    <mergeCell ref="H235:I235"/>
    <mergeCell ref="F235:G235"/>
    <mergeCell ref="J243:K243"/>
    <mergeCell ref="H243:I243"/>
    <mergeCell ref="E246:E247"/>
    <mergeCell ref="L238:M238"/>
    <mergeCell ref="B258:C259"/>
    <mergeCell ref="D205:D206"/>
    <mergeCell ref="F238:G238"/>
    <mergeCell ref="H238:I238"/>
    <mergeCell ref="E205:E206"/>
    <mergeCell ref="F205:G205"/>
    <mergeCell ref="H205:I205"/>
    <mergeCell ref="B224:M224"/>
    <mergeCell ref="J205:K205"/>
    <mergeCell ref="B225:B226"/>
    <mergeCell ref="G305:J305"/>
    <mergeCell ref="K305:M305"/>
    <mergeCell ref="B306:F306"/>
    <mergeCell ref="G306:J306"/>
    <mergeCell ref="K306:M306"/>
    <mergeCell ref="B237:M237"/>
    <mergeCell ref="H246:I246"/>
    <mergeCell ref="J246:K246"/>
    <mergeCell ref="D246:D247"/>
    <mergeCell ref="J238:K238"/>
    <mergeCell ref="B307:F307"/>
    <mergeCell ref="G307:J307"/>
    <mergeCell ref="K307:M307"/>
    <mergeCell ref="B308:F308"/>
    <mergeCell ref="G308:J308"/>
    <mergeCell ref="K308:M308"/>
    <mergeCell ref="B305:F305"/>
    <mergeCell ref="B310:F310"/>
    <mergeCell ref="G310:J310"/>
    <mergeCell ref="K310:M310"/>
    <mergeCell ref="B311:F311"/>
    <mergeCell ref="G311:J311"/>
    <mergeCell ref="K311:M311"/>
    <mergeCell ref="B309:F309"/>
    <mergeCell ref="G309:J309"/>
    <mergeCell ref="K309:M309"/>
    <mergeCell ref="B304:M304"/>
    <mergeCell ref="B204:M204"/>
    <mergeCell ref="B205:B206"/>
    <mergeCell ref="L205:M205"/>
    <mergeCell ref="C205:C206"/>
    <mergeCell ref="I86:K86"/>
    <mergeCell ref="C295:C296"/>
    <mergeCell ref="F295:G296"/>
    <mergeCell ref="H295:I296"/>
    <mergeCell ref="L86:M86"/>
    <mergeCell ref="B85:C85"/>
    <mergeCell ref="E84:F84"/>
    <mergeCell ref="E85:F85"/>
    <mergeCell ref="G84:H84"/>
    <mergeCell ref="B98:C98"/>
    <mergeCell ref="F246:G246"/>
    <mergeCell ref="B243:E243"/>
    <mergeCell ref="D98:E98"/>
    <mergeCell ref="F98:G98"/>
    <mergeCell ref="H98:J98"/>
    <mergeCell ref="K98:M98"/>
    <mergeCell ref="B99:C99"/>
    <mergeCell ref="F99:G99"/>
    <mergeCell ref="H99:J99"/>
    <mergeCell ref="K99:M99"/>
    <mergeCell ref="H102:J102"/>
    <mergeCell ref="K102:M102"/>
    <mergeCell ref="B101:C101"/>
    <mergeCell ref="F101:G101"/>
    <mergeCell ref="H101:J101"/>
    <mergeCell ref="K101:M101"/>
    <mergeCell ref="B103:C103"/>
    <mergeCell ref="F103:G103"/>
    <mergeCell ref="H103:J103"/>
    <mergeCell ref="K103:M103"/>
    <mergeCell ref="B104:C104"/>
    <mergeCell ref="F104:G104"/>
    <mergeCell ref="H104:J104"/>
    <mergeCell ref="K104:M104"/>
    <mergeCell ref="B105:C105"/>
    <mergeCell ref="F105:G105"/>
    <mergeCell ref="H105:J105"/>
    <mergeCell ref="K105:M105"/>
    <mergeCell ref="B106:C106"/>
    <mergeCell ref="F106:G106"/>
    <mergeCell ref="H106:J106"/>
    <mergeCell ref="K106:M106"/>
    <mergeCell ref="B107:C107"/>
    <mergeCell ref="F107:G107"/>
    <mergeCell ref="H107:J107"/>
    <mergeCell ref="K107:M107"/>
    <mergeCell ref="B108:C108"/>
    <mergeCell ref="F108:G108"/>
    <mergeCell ref="H108:J108"/>
    <mergeCell ref="K108:M108"/>
    <mergeCell ref="B109:C109"/>
    <mergeCell ref="F109:G109"/>
    <mergeCell ref="H109:J109"/>
    <mergeCell ref="K109:M109"/>
    <mergeCell ref="B110:C110"/>
    <mergeCell ref="F110:G110"/>
    <mergeCell ref="H110:J110"/>
    <mergeCell ref="K110:M110"/>
    <mergeCell ref="B111:C111"/>
    <mergeCell ref="F111:G111"/>
    <mergeCell ref="H111:J111"/>
    <mergeCell ref="K111:M111"/>
    <mergeCell ref="B112:C112"/>
    <mergeCell ref="F112:G112"/>
    <mergeCell ref="H112:J112"/>
    <mergeCell ref="K112:M112"/>
    <mergeCell ref="B113:C113"/>
    <mergeCell ref="F113:G113"/>
    <mergeCell ref="H113:J113"/>
    <mergeCell ref="K113:M113"/>
    <mergeCell ref="B114:C114"/>
    <mergeCell ref="F114:G114"/>
    <mergeCell ref="H114:J114"/>
    <mergeCell ref="K114:M114"/>
    <mergeCell ref="B115:C115"/>
    <mergeCell ref="F115:G115"/>
    <mergeCell ref="H115:J115"/>
    <mergeCell ref="K115:M115"/>
    <mergeCell ref="B116:C116"/>
    <mergeCell ref="F116:G116"/>
    <mergeCell ref="H116:J116"/>
    <mergeCell ref="K116:M116"/>
    <mergeCell ref="B117:C117"/>
    <mergeCell ref="F117:G117"/>
    <mergeCell ref="H117:J117"/>
    <mergeCell ref="K117:M117"/>
    <mergeCell ref="B118:C118"/>
    <mergeCell ref="F118:G118"/>
    <mergeCell ref="H118:J118"/>
    <mergeCell ref="K118:M118"/>
    <mergeCell ref="B119:C119"/>
    <mergeCell ref="F119:G119"/>
    <mergeCell ref="H119:J119"/>
    <mergeCell ref="K119:M119"/>
    <mergeCell ref="B120:C120"/>
    <mergeCell ref="F120:G120"/>
    <mergeCell ref="H120:J120"/>
    <mergeCell ref="K120:M120"/>
    <mergeCell ref="B121:C121"/>
    <mergeCell ref="F121:G121"/>
    <mergeCell ref="H121:J121"/>
    <mergeCell ref="K121:M121"/>
    <mergeCell ref="B122:C122"/>
    <mergeCell ref="D122:E123"/>
    <mergeCell ref="F122:G122"/>
    <mergeCell ref="H122:J122"/>
    <mergeCell ref="K122:M122"/>
    <mergeCell ref="B123:C123"/>
    <mergeCell ref="F123:G123"/>
    <mergeCell ref="H123:J123"/>
    <mergeCell ref="K123:M123"/>
    <mergeCell ref="B124:C124"/>
    <mergeCell ref="F124:G124"/>
    <mergeCell ref="H124:J124"/>
    <mergeCell ref="K124:M124"/>
    <mergeCell ref="B129:C129"/>
    <mergeCell ref="F129:G129"/>
    <mergeCell ref="H129:J129"/>
    <mergeCell ref="K129:M129"/>
    <mergeCell ref="B125:C125"/>
    <mergeCell ref="F125:G125"/>
    <mergeCell ref="H125:J125"/>
    <mergeCell ref="K125:M125"/>
    <mergeCell ref="B127:C127"/>
    <mergeCell ref="F127:G127"/>
    <mergeCell ref="H131:J131"/>
    <mergeCell ref="K131:M131"/>
    <mergeCell ref="B132:C132"/>
    <mergeCell ref="F132:G132"/>
    <mergeCell ref="H132:J132"/>
    <mergeCell ref="K132:M132"/>
    <mergeCell ref="B131:C131"/>
    <mergeCell ref="F131:G131"/>
    <mergeCell ref="B137:C137"/>
    <mergeCell ref="F137:G137"/>
    <mergeCell ref="H137:J137"/>
    <mergeCell ref="K137:M137"/>
    <mergeCell ref="B138:C138"/>
    <mergeCell ref="D138:E138"/>
    <mergeCell ref="F138:G138"/>
    <mergeCell ref="H138:J138"/>
    <mergeCell ref="K138:M138"/>
    <mergeCell ref="B139:C139"/>
    <mergeCell ref="D139:E139"/>
    <mergeCell ref="F139:G139"/>
    <mergeCell ref="H139:J139"/>
    <mergeCell ref="K139:M139"/>
    <mergeCell ref="B140:C140"/>
    <mergeCell ref="D140:E142"/>
    <mergeCell ref="F140:G140"/>
    <mergeCell ref="H140:J140"/>
    <mergeCell ref="K140:M140"/>
    <mergeCell ref="B141:C141"/>
    <mergeCell ref="F141:G141"/>
    <mergeCell ref="H141:J141"/>
    <mergeCell ref="K141:M141"/>
    <mergeCell ref="B142:C142"/>
    <mergeCell ref="F142:G142"/>
    <mergeCell ref="H142:J142"/>
    <mergeCell ref="K142:M142"/>
    <mergeCell ref="K143:M143"/>
    <mergeCell ref="B144:C144"/>
    <mergeCell ref="F144:G144"/>
    <mergeCell ref="H144:J144"/>
    <mergeCell ref="K144:M144"/>
    <mergeCell ref="B145:C145"/>
    <mergeCell ref="F149:G149"/>
    <mergeCell ref="B143:C143"/>
    <mergeCell ref="D143:E148"/>
    <mergeCell ref="F143:G143"/>
    <mergeCell ref="H143:J143"/>
    <mergeCell ref="H148:J148"/>
    <mergeCell ref="H149:J149"/>
    <mergeCell ref="K148:M148"/>
    <mergeCell ref="B150:C150"/>
    <mergeCell ref="F145:G145"/>
    <mergeCell ref="H145:J145"/>
    <mergeCell ref="K145:M145"/>
    <mergeCell ref="B146:C146"/>
    <mergeCell ref="F146:G146"/>
    <mergeCell ref="H146:J146"/>
    <mergeCell ref="K146:M146"/>
    <mergeCell ref="B149:C149"/>
    <mergeCell ref="F152:G152"/>
    <mergeCell ref="H152:J152"/>
    <mergeCell ref="K152:M152"/>
    <mergeCell ref="B153:C153"/>
    <mergeCell ref="B147:C147"/>
    <mergeCell ref="F147:G147"/>
    <mergeCell ref="H147:J147"/>
    <mergeCell ref="K147:M147"/>
    <mergeCell ref="B148:C148"/>
    <mergeCell ref="F148:G148"/>
    <mergeCell ref="B154:C154"/>
    <mergeCell ref="F154:G154"/>
    <mergeCell ref="H154:J154"/>
    <mergeCell ref="K154:M154"/>
    <mergeCell ref="B151:C151"/>
    <mergeCell ref="F151:G151"/>
    <mergeCell ref="H151:J151"/>
    <mergeCell ref="K151:M151"/>
    <mergeCell ref="B152:C152"/>
    <mergeCell ref="D152:E155"/>
    <mergeCell ref="B157:C157"/>
    <mergeCell ref="D157:E157"/>
    <mergeCell ref="F157:G157"/>
    <mergeCell ref="H157:J157"/>
    <mergeCell ref="K157:M157"/>
    <mergeCell ref="B155:C155"/>
    <mergeCell ref="F155:G155"/>
    <mergeCell ref="H155:J155"/>
    <mergeCell ref="K155:M155"/>
    <mergeCell ref="B156:C156"/>
    <mergeCell ref="L60:M60"/>
    <mergeCell ref="I60:K60"/>
    <mergeCell ref="G60:H60"/>
    <mergeCell ref="E60:F60"/>
    <mergeCell ref="B60:C60"/>
    <mergeCell ref="I63:K63"/>
    <mergeCell ref="I62:K62"/>
    <mergeCell ref="I61:K61"/>
    <mergeCell ref="B63:C63"/>
    <mergeCell ref="B62:C62"/>
    <mergeCell ref="B61:C61"/>
    <mergeCell ref="E63:F63"/>
    <mergeCell ref="E62:F62"/>
    <mergeCell ref="E61:F61"/>
    <mergeCell ref="L61:M61"/>
    <mergeCell ref="L63:M63"/>
    <mergeCell ref="L62:M62"/>
    <mergeCell ref="G61:H61"/>
    <mergeCell ref="G63:H63"/>
    <mergeCell ref="G62:H62"/>
    <mergeCell ref="B128:C128"/>
    <mergeCell ref="F128:G128"/>
    <mergeCell ref="H128:J128"/>
    <mergeCell ref="K128:M128"/>
    <mergeCell ref="H127:J127"/>
    <mergeCell ref="K127:M127"/>
    <mergeCell ref="B126:C126"/>
    <mergeCell ref="F126:G126"/>
    <mergeCell ref="K133:M133"/>
    <mergeCell ref="H134:J134"/>
    <mergeCell ref="H135:J135"/>
    <mergeCell ref="H136:J136"/>
    <mergeCell ref="B130:C130"/>
    <mergeCell ref="K130:M130"/>
    <mergeCell ref="H130:J130"/>
    <mergeCell ref="F130:G130"/>
    <mergeCell ref="K136:M136"/>
    <mergeCell ref="K135:M135"/>
    <mergeCell ref="K134:M134"/>
    <mergeCell ref="D156:E156"/>
    <mergeCell ref="F156:G156"/>
    <mergeCell ref="H156:J156"/>
    <mergeCell ref="K156:M156"/>
    <mergeCell ref="F153:G153"/>
    <mergeCell ref="H153:J153"/>
    <mergeCell ref="K153:M153"/>
    <mergeCell ref="L201:M201"/>
    <mergeCell ref="J201:K201"/>
    <mergeCell ref="H201:I201"/>
    <mergeCell ref="F201:G201"/>
    <mergeCell ref="B190:E190"/>
    <mergeCell ref="L190:M190"/>
    <mergeCell ref="J190:K190"/>
    <mergeCell ref="H190:I190"/>
    <mergeCell ref="F190:G190"/>
    <mergeCell ref="B201:E201"/>
    <mergeCell ref="H214:I214"/>
    <mergeCell ref="F214:G214"/>
    <mergeCell ref="B202:E202"/>
    <mergeCell ref="L202:M202"/>
    <mergeCell ref="J202:K202"/>
    <mergeCell ref="H202:I202"/>
    <mergeCell ref="F202:G202"/>
    <mergeCell ref="B213:E213"/>
    <mergeCell ref="B214:E214"/>
    <mergeCell ref="L213:M213"/>
    <mergeCell ref="J213:K213"/>
    <mergeCell ref="H213:I213"/>
    <mergeCell ref="F213:G213"/>
    <mergeCell ref="L214:M214"/>
    <mergeCell ref="J214:K214"/>
    <mergeCell ref="L254:M254"/>
    <mergeCell ref="J254:K254"/>
    <mergeCell ref="H254:I254"/>
    <mergeCell ref="F254:G254"/>
    <mergeCell ref="L243:M243"/>
    <mergeCell ref="B222:E222"/>
    <mergeCell ref="L222:M222"/>
    <mergeCell ref="J222:K222"/>
    <mergeCell ref="H222:I222"/>
    <mergeCell ref="F222:G222"/>
    <mergeCell ref="J235:K235"/>
    <mergeCell ref="L225:M225"/>
    <mergeCell ref="J225:K225"/>
    <mergeCell ref="F225:G225"/>
    <mergeCell ref="F255:G255"/>
    <mergeCell ref="F243:G243"/>
    <mergeCell ref="B245:M245"/>
    <mergeCell ref="B246:B247"/>
    <mergeCell ref="C246:C247"/>
    <mergeCell ref="B254:E254"/>
    <mergeCell ref="B255:E255"/>
    <mergeCell ref="L255:M255"/>
    <mergeCell ref="J255:K255"/>
    <mergeCell ref="H255:I255"/>
    <mergeCell ref="B275:C275"/>
    <mergeCell ref="B276:C276"/>
    <mergeCell ref="E275:G275"/>
    <mergeCell ref="E276:G276"/>
    <mergeCell ref="H275:J275"/>
    <mergeCell ref="H276:J276"/>
    <mergeCell ref="K260:M265"/>
    <mergeCell ref="K266:M266"/>
    <mergeCell ref="B260:C266"/>
    <mergeCell ref="D260:D265"/>
    <mergeCell ref="E266:G266"/>
    <mergeCell ref="E265:G265"/>
    <mergeCell ref="E264:G264"/>
    <mergeCell ref="E261:G261"/>
    <mergeCell ref="B267:C267"/>
    <mergeCell ref="E267:G267"/>
    <mergeCell ref="H267:J267"/>
    <mergeCell ref="H261:J261"/>
    <mergeCell ref="H264:J264"/>
    <mergeCell ref="H265:J265"/>
    <mergeCell ref="H266:J266"/>
    <mergeCell ref="K27:M27"/>
    <mergeCell ref="B24:M24"/>
    <mergeCell ref="B25:C25"/>
    <mergeCell ref="D25:E25"/>
    <mergeCell ref="F25:G25"/>
    <mergeCell ref="H25:J25"/>
    <mergeCell ref="K25:M25"/>
    <mergeCell ref="K35:M35"/>
    <mergeCell ref="B26:C26"/>
    <mergeCell ref="B27:C27"/>
    <mergeCell ref="D26:E26"/>
    <mergeCell ref="F26:G26"/>
    <mergeCell ref="H26:J26"/>
    <mergeCell ref="K26:M26"/>
    <mergeCell ref="D27:E27"/>
    <mergeCell ref="F27:G27"/>
    <mergeCell ref="H27:J27"/>
    <mergeCell ref="B36:C36"/>
    <mergeCell ref="D36:E36"/>
    <mergeCell ref="F36:H36"/>
    <mergeCell ref="I36:J36"/>
    <mergeCell ref="K36:M36"/>
    <mergeCell ref="B34:M34"/>
    <mergeCell ref="B35:C35"/>
    <mergeCell ref="D35:E35"/>
    <mergeCell ref="F35:H35"/>
    <mergeCell ref="I35:J35"/>
  </mergeCells>
  <printOptions/>
  <pageMargins left="0.7" right="0.7" top="0.6" bottom="0.75" header="0.3" footer="0.3"/>
  <pageSetup horizontalDpi="600" verticalDpi="600" orientation="portrait" paperSize="9" scale="55" r:id="rId4"/>
  <drawing r:id="rId3"/>
  <legacyDrawing r:id="rId2"/>
  <oleObjects>
    <oleObject progId="Word.Document.12" shapeId="1394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15.00390625" style="0" customWidth="1"/>
    <col min="2" max="2" width="7.421875" style="0" customWidth="1"/>
    <col min="3" max="3" width="10.00390625" style="0" customWidth="1"/>
    <col min="6" max="6" width="7.140625" style="0" customWidth="1"/>
    <col min="9" max="9" width="7.57421875" style="0" customWidth="1"/>
    <col min="10" max="10" width="8.00390625" style="0" customWidth="1"/>
    <col min="11" max="11" width="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2011-03-16T07:35:17Z</dcterms:modified>
  <cp:category/>
  <cp:version/>
  <cp:contentType/>
  <cp:contentStatus/>
</cp:coreProperties>
</file>